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ZTYLY\Desktop\ČK Hřbitov 022021\"/>
    </mc:Choice>
  </mc:AlternateContent>
  <xr:revisionPtr revIDLastSave="0" documentId="13_ncr:1_{0347DDF3-4CC6-4144-BB39-36E1F7C3FEDE}" xr6:coauthVersionLast="46" xr6:coauthVersionMax="46" xr10:uidLastSave="{00000000-0000-0000-0000-000000000000}"/>
  <bookViews>
    <workbookView xWindow="1410" yWindow="345" windowWidth="19080" windowHeight="11175" xr2:uid="{0A2CB973-84EC-4D9A-865E-BC2702B1A6B3}"/>
  </bookViews>
  <sheets>
    <sheet name="reka" sheetId="3" r:id="rId1"/>
    <sheet name="pol." sheetId="1" r:id="rId2"/>
    <sheet name="vegetační up." sheetId="7" r:id="rId3"/>
    <sheet name="elektro" sheetId="5" r:id="rId4"/>
    <sheet name="vodovod" sheetId="9" r:id="rId5"/>
    <sheet name="kanalizace" sheetId="10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cisloobjektu" localSheetId="5">'[1]Krycí list'!$A$5</definedName>
    <definedName name="cisloobjektu" localSheetId="2">'[2]Krycí list'!$A$4</definedName>
    <definedName name="cisloobjektu" localSheetId="4">'[3]Krycí list'!$A$5</definedName>
    <definedName name="cisloobjektu">'[4]Krycí list'!$A$4</definedName>
    <definedName name="cislostavby" localSheetId="5">'[1]Krycí list'!$A$7</definedName>
    <definedName name="cislostavby" localSheetId="2">'[2]Krycí list'!$A$6</definedName>
    <definedName name="cislostavby" localSheetId="4">'[3]Krycí list'!$A$7</definedName>
    <definedName name="cislostavby">'[4]Krycí list'!$A$6</definedName>
    <definedName name="Dodavka" localSheetId="5">[1]Rekapitulace!$G$15</definedName>
    <definedName name="Dodavka" localSheetId="2">[2]Rekapitulace!$G$13</definedName>
    <definedName name="Dodavka" localSheetId="4">vodovod!#REF!</definedName>
    <definedName name="Dodavka">[4]Rekapitulace!$G$12</definedName>
    <definedName name="Dodavka0" localSheetId="5">kanalizace!#REF!</definedName>
    <definedName name="Dodavka0" localSheetId="2">[5]elektro!#REF!</definedName>
    <definedName name="Dodavka0" localSheetId="4">vodovod!#REF!</definedName>
    <definedName name="Dodavka0">elektro!#REF!</definedName>
    <definedName name="HSV" localSheetId="5">[1]Rekapitulace!$E$15</definedName>
    <definedName name="HSV" localSheetId="2">[2]Rekapitulace!$E$13</definedName>
    <definedName name="HSV" localSheetId="4">vodovod!$G$90</definedName>
    <definedName name="HSV">[4]Rekapitulace!$E$12</definedName>
    <definedName name="HSV0" localSheetId="5">kanalizace!#REF!</definedName>
    <definedName name="HSV0" localSheetId="2">[5]elektro!#REF!</definedName>
    <definedName name="HSV0" localSheetId="4">vodovod!#REF!</definedName>
    <definedName name="HSV0">elektro!#REF!</definedName>
    <definedName name="HZS" localSheetId="5">[1]Rekapitulace!$I$15</definedName>
    <definedName name="HZS" localSheetId="2">[2]Rekapitulace!$I$13</definedName>
    <definedName name="HZS" localSheetId="4">vodovod!#REF!</definedName>
    <definedName name="HZS">[4]Rekapitulace!$I$12</definedName>
    <definedName name="HZS0" localSheetId="5">kanalizace!#REF!</definedName>
    <definedName name="HZS0" localSheetId="2">[5]elektro!#REF!</definedName>
    <definedName name="HZS0" localSheetId="4">vodovod!#REF!</definedName>
    <definedName name="HZS0">elektro!#REF!</definedName>
    <definedName name="Mont" localSheetId="5">[1]Rekapitulace!$H$15</definedName>
    <definedName name="Mont" localSheetId="2">[2]Rekapitulace!$H$13</definedName>
    <definedName name="Mont" localSheetId="4">vodovod!#REF!</definedName>
    <definedName name="Mont">[4]Rekapitulace!$H$12</definedName>
    <definedName name="Montaz0" localSheetId="5">kanalizace!#REF!</definedName>
    <definedName name="Montaz0" localSheetId="2">[5]elektro!#REF!</definedName>
    <definedName name="Montaz0" localSheetId="4">vodovod!#REF!</definedName>
    <definedName name="Montaz0">elektro!#REF!</definedName>
    <definedName name="nazevobjektu" localSheetId="5">'[1]Krycí list'!$C$5</definedName>
    <definedName name="nazevobjektu" localSheetId="2">'[2]Krycí list'!$C$4</definedName>
    <definedName name="nazevobjektu" localSheetId="4">'[3]Krycí list'!$C$5</definedName>
    <definedName name="nazevobjektu">'[4]Krycí list'!$C$4</definedName>
    <definedName name="nazevstavby" localSheetId="5">'[1]Krycí list'!$C$7</definedName>
    <definedName name="nazevstavby" localSheetId="2">'[2]Krycí list'!$C$6</definedName>
    <definedName name="nazevstavby" localSheetId="4">'[3]Krycí list'!$C$7</definedName>
    <definedName name="nazevstavby">'[4]Krycí list'!$C$6</definedName>
    <definedName name="_xlnm.Print_Titles" localSheetId="3">elektro!$1:$4</definedName>
    <definedName name="_xlnm.Print_Titles" localSheetId="5">kanalizace!$1:$4</definedName>
    <definedName name="_xlnm.Print_Titles" localSheetId="1">pol.!$1:$4</definedName>
    <definedName name="_xlnm.Print_Titles" localSheetId="2">'vegetační up.'!$1:$4</definedName>
    <definedName name="_xlnm.Print_Titles" localSheetId="4">vodovod!$1:$4</definedName>
    <definedName name="_xlnm.Print_Area" localSheetId="3">elektro!$A$1:$G$87</definedName>
    <definedName name="_xlnm.Print_Area" localSheetId="5">kanalizace!$A$1:$G$289</definedName>
    <definedName name="_xlnm.Print_Area" localSheetId="1">pol.!$A$1:$H$171</definedName>
    <definedName name="_xlnm.Print_Area" localSheetId="0">reka!$A$1:$E$36</definedName>
    <definedName name="_xlnm.Print_Area" localSheetId="2">'vegetační up.'!$A$1:$H$73</definedName>
    <definedName name="_xlnm.Print_Area" localSheetId="4">vodovod!$A$1:$G$91</definedName>
    <definedName name="PocetMJ" localSheetId="5">'[1]Krycí list'!$G$6</definedName>
    <definedName name="PocetMJ" localSheetId="2">'[2]Krycí list'!$G$7</definedName>
    <definedName name="PocetMJ" localSheetId="4">'[3]Krycí list'!$G$6</definedName>
    <definedName name="PocetMJ">'[4]Krycí list'!$G$7</definedName>
    <definedName name="PSV" localSheetId="5">[1]Rekapitulace!$F$15</definedName>
    <definedName name="PSV" localSheetId="2">[2]Rekapitulace!$F$13</definedName>
    <definedName name="PSV" localSheetId="4">vodovod!$F$90</definedName>
    <definedName name="PSV">[4]Rekapitulace!$F$12</definedName>
    <definedName name="PSV0" localSheetId="5">kanalizace!#REF!</definedName>
    <definedName name="PSV0" localSheetId="2">[5]elektro!#REF!</definedName>
    <definedName name="PSV0" localSheetId="4">vodovod!#REF!</definedName>
    <definedName name="PSV0">elektro!#REF!</definedName>
    <definedName name="SazbaDPH1" localSheetId="5">'[1]Krycí list'!$C$30</definedName>
    <definedName name="SazbaDPH1">'[3]Krycí list'!$C$30</definedName>
    <definedName name="SazbaDPH2" localSheetId="5">'[1]Krycí list'!$C$32</definedName>
    <definedName name="SazbaDPH2">'[3]Krycí list'!$C$32</definedName>
    <definedName name="SloupecCC" localSheetId="5">kanalizace!#REF!</definedName>
    <definedName name="SloupecCC" localSheetId="4">vodovod!#REF!</definedName>
    <definedName name="SloupecCC">elektro!#REF!</definedName>
    <definedName name="SloupecCisloPol" localSheetId="5">kanalizace!#REF!</definedName>
    <definedName name="SloupecCisloPol" localSheetId="4">vodovod!#REF!</definedName>
    <definedName name="SloupecCisloPol">elektro!#REF!</definedName>
    <definedName name="SloupecJC" localSheetId="5">kanalizace!#REF!</definedName>
    <definedName name="SloupecJC" localSheetId="4">vodovod!#REF!</definedName>
    <definedName name="SloupecJC">elektro!#REF!</definedName>
    <definedName name="SloupecMJ" localSheetId="5">kanalizace!#REF!</definedName>
    <definedName name="SloupecMJ" localSheetId="4">vodovod!#REF!</definedName>
    <definedName name="SloupecMJ">elektro!#REF!</definedName>
    <definedName name="SloupecMnozstvi" localSheetId="5">kanalizace!#REF!</definedName>
    <definedName name="SloupecMnozstvi" localSheetId="4">vodovod!#REF!</definedName>
    <definedName name="SloupecMnozstvi">elektro!#REF!</definedName>
    <definedName name="SloupecNazPol" localSheetId="5">kanalizace!#REF!</definedName>
    <definedName name="SloupecNazPol" localSheetId="4">vodovod!#REF!</definedName>
    <definedName name="SloupecNazPol">elektro!#REF!</definedName>
    <definedName name="SloupecPC" localSheetId="5">kanalizace!#REF!</definedName>
    <definedName name="SloupecPC" localSheetId="4">vodovod!#REF!</definedName>
    <definedName name="SloupecPC">elektro!#REF!</definedName>
    <definedName name="solver_lin" localSheetId="3">0</definedName>
    <definedName name="solver_lin" localSheetId="5">0</definedName>
    <definedName name="solver_lin" localSheetId="4">0</definedName>
    <definedName name="solver_num" localSheetId="3">0</definedName>
    <definedName name="solver_num" localSheetId="5">0</definedName>
    <definedName name="solver_num" localSheetId="4">0</definedName>
    <definedName name="solver_opt" localSheetId="3">elektro!#REF!</definedName>
    <definedName name="solver_opt" localSheetId="5">kanalizace!#REF!</definedName>
    <definedName name="solver_opt" localSheetId="4">vodovod!#REF!</definedName>
    <definedName name="solver_typ" localSheetId="3">1</definedName>
    <definedName name="solver_typ" localSheetId="5">1</definedName>
    <definedName name="solver_typ" localSheetId="4">1</definedName>
    <definedName name="solver_val" localSheetId="3">0</definedName>
    <definedName name="solver_val" localSheetId="5">0</definedName>
    <definedName name="solver_val" localSheetId="4">0</definedName>
    <definedName name="Typ" localSheetId="5">kanalizace!#REF!</definedName>
    <definedName name="Typ" localSheetId="2">[5]elektro!#REF!</definedName>
    <definedName name="Typ" localSheetId="4">vodovod!#REF!</definedName>
    <definedName name="Typ">elektro!#REF!</definedName>
    <definedName name="VRN" localSheetId="5">[1]Rekapitulace!$H$28</definedName>
    <definedName name="VRN" localSheetId="2">[2]Rekapitulace!$H$19</definedName>
    <definedName name="VRN" localSheetId="4">[3]Rekapitulace!$H$28</definedName>
    <definedName name="VRN">[4]Rekapitulace!$H$18</definedName>
    <definedName name="VRNKc" localSheetId="5">[1]Rekapitulace!#REF!</definedName>
    <definedName name="VRNKc">[3]Rekapitulace!#REF!</definedName>
    <definedName name="VRNnazev" localSheetId="5">[1]Rekapitulace!#REF!</definedName>
    <definedName name="VRNnazev">[3]Rekapitulace!#REF!</definedName>
    <definedName name="VRNproc" localSheetId="5">[1]Rekapitulace!#REF!</definedName>
    <definedName name="VRNproc">[3]Rekapitulace!#REF!</definedName>
    <definedName name="VRNzakl" localSheetId="5">[1]Rekapitulace!#REF!</definedName>
    <definedName name="VRNzakl">[3]Rekapitulace!#REF!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3" l="1"/>
  <c r="E78" i="10"/>
  <c r="E76" i="10"/>
  <c r="E75" i="10"/>
  <c r="E74" i="10" s="1"/>
  <c r="G74" i="10" s="1"/>
  <c r="E73" i="10"/>
  <c r="E72" i="10" s="1"/>
  <c r="G72" i="10" s="1"/>
  <c r="E68" i="10"/>
  <c r="G68" i="10" s="1"/>
  <c r="E30" i="9"/>
  <c r="E26" i="9"/>
  <c r="E27" i="9"/>
  <c r="E20" i="9"/>
  <c r="E28" i="9"/>
  <c r="J129" i="1"/>
  <c r="G129" i="1"/>
  <c r="A131" i="1"/>
  <c r="A132" i="1" s="1"/>
  <c r="C268" i="10"/>
  <c r="G267" i="10"/>
  <c r="G268" i="10" s="1"/>
  <c r="G286" i="10" s="1"/>
  <c r="C264" i="10"/>
  <c r="G262" i="10"/>
  <c r="G264" i="10" s="1"/>
  <c r="G285" i="10" s="1"/>
  <c r="C260" i="10"/>
  <c r="G255" i="10"/>
  <c r="G248" i="10"/>
  <c r="G239" i="10"/>
  <c r="G238" i="10"/>
  <c r="AV238" i="10" s="1"/>
  <c r="G237" i="10"/>
  <c r="G234" i="10"/>
  <c r="AV234" i="10" s="1"/>
  <c r="G231" i="10"/>
  <c r="AV231" i="10" s="1"/>
  <c r="G230" i="10"/>
  <c r="AV230" i="10" s="1"/>
  <c r="G229" i="10"/>
  <c r="AV229" i="10" s="1"/>
  <c r="G228" i="10"/>
  <c r="AV228" i="10" s="1"/>
  <c r="G227" i="10"/>
  <c r="AV227" i="10" s="1"/>
  <c r="G226" i="10"/>
  <c r="AV226" i="10" s="1"/>
  <c r="G225" i="10"/>
  <c r="AV225" i="10" s="1"/>
  <c r="G224" i="10"/>
  <c r="AV224" i="10" s="1"/>
  <c r="G223" i="10"/>
  <c r="AV223" i="10" s="1"/>
  <c r="G222" i="10"/>
  <c r="AV222" i="10" s="1"/>
  <c r="G221" i="10"/>
  <c r="AV221" i="10" s="1"/>
  <c r="G219" i="10"/>
  <c r="G217" i="10"/>
  <c r="G215" i="10"/>
  <c r="G213" i="10"/>
  <c r="G211" i="10"/>
  <c r="G209" i="10"/>
  <c r="G207" i="10"/>
  <c r="G205" i="10"/>
  <c r="G203" i="10"/>
  <c r="G202" i="10"/>
  <c r="AV202" i="10" s="1"/>
  <c r="G201" i="10"/>
  <c r="G200" i="10"/>
  <c r="AV200" i="10" s="1"/>
  <c r="G197" i="10"/>
  <c r="G195" i="10"/>
  <c r="G194" i="10"/>
  <c r="AV194" i="10" s="1"/>
  <c r="G193" i="10"/>
  <c r="AV193" i="10" s="1"/>
  <c r="G190" i="10"/>
  <c r="G186" i="10"/>
  <c r="AV186" i="10" s="1"/>
  <c r="G183" i="10"/>
  <c r="G172" i="10"/>
  <c r="G150" i="10"/>
  <c r="G145" i="10"/>
  <c r="G139" i="10"/>
  <c r="G124" i="10"/>
  <c r="G115" i="10"/>
  <c r="C113" i="10"/>
  <c r="G111" i="10"/>
  <c r="G108" i="10"/>
  <c r="G105" i="10"/>
  <c r="G102" i="10"/>
  <c r="C100" i="10"/>
  <c r="G98" i="10"/>
  <c r="G96" i="10"/>
  <c r="G94" i="10"/>
  <c r="G90" i="10"/>
  <c r="G86" i="10"/>
  <c r="AV86" i="10" s="1"/>
  <c r="G79" i="10"/>
  <c r="G78" i="10"/>
  <c r="G76" i="10"/>
  <c r="AV76" i="10" s="1"/>
  <c r="G70" i="10"/>
  <c r="G66" i="10"/>
  <c r="G65" i="10"/>
  <c r="G60" i="10"/>
  <c r="G58" i="10"/>
  <c r="G9" i="10"/>
  <c r="AV9" i="10" s="1"/>
  <c r="G8" i="10"/>
  <c r="G6" i="10"/>
  <c r="E25" i="9"/>
  <c r="E24" i="9" s="1"/>
  <c r="G24" i="9" s="1"/>
  <c r="C80" i="9"/>
  <c r="G79" i="9"/>
  <c r="G80" i="9" s="1"/>
  <c r="AZ80" i="9" s="1"/>
  <c r="C77" i="9"/>
  <c r="G75" i="9"/>
  <c r="AZ75" i="9" s="1"/>
  <c r="G74" i="9"/>
  <c r="AZ74" i="9" s="1"/>
  <c r="G73" i="9"/>
  <c r="AZ73" i="9" s="1"/>
  <c r="G72" i="9"/>
  <c r="AZ72" i="9" s="1"/>
  <c r="G71" i="9"/>
  <c r="AZ71" i="9" s="1"/>
  <c r="G70" i="9"/>
  <c r="AZ70" i="9" s="1"/>
  <c r="G69" i="9"/>
  <c r="AZ69" i="9" s="1"/>
  <c r="G68" i="9"/>
  <c r="AZ68" i="9" s="1"/>
  <c r="G67" i="9"/>
  <c r="AZ67" i="9" s="1"/>
  <c r="G66" i="9"/>
  <c r="AZ66" i="9" s="1"/>
  <c r="G65" i="9"/>
  <c r="AZ65" i="9" s="1"/>
  <c r="G64" i="9"/>
  <c r="AZ64" i="9" s="1"/>
  <c r="G63" i="9"/>
  <c r="AZ63" i="9" s="1"/>
  <c r="G62" i="9"/>
  <c r="AZ62" i="9" s="1"/>
  <c r="G61" i="9"/>
  <c r="AZ61" i="9" s="1"/>
  <c r="G60" i="9"/>
  <c r="AZ60" i="9" s="1"/>
  <c r="G59" i="9"/>
  <c r="AZ59" i="9" s="1"/>
  <c r="G58" i="9"/>
  <c r="AZ58" i="9" s="1"/>
  <c r="G57" i="9"/>
  <c r="AZ57" i="9" s="1"/>
  <c r="G56" i="9"/>
  <c r="G55" i="9"/>
  <c r="AZ55" i="9" s="1"/>
  <c r="G54" i="9"/>
  <c r="AZ54" i="9" s="1"/>
  <c r="G53" i="9"/>
  <c r="AZ53" i="9" s="1"/>
  <c r="G52" i="9"/>
  <c r="AZ52" i="9" s="1"/>
  <c r="G51" i="9"/>
  <c r="AZ51" i="9" s="1"/>
  <c r="G50" i="9"/>
  <c r="AZ50" i="9" s="1"/>
  <c r="G49" i="9"/>
  <c r="G48" i="9"/>
  <c r="AZ48" i="9" s="1"/>
  <c r="G47" i="9"/>
  <c r="C45" i="9"/>
  <c r="G42" i="9"/>
  <c r="G45" i="9" s="1"/>
  <c r="G87" i="9" s="1"/>
  <c r="C40" i="9"/>
  <c r="G38" i="9"/>
  <c r="AZ38" i="9" s="1"/>
  <c r="G36" i="9"/>
  <c r="AZ36" i="9" s="1"/>
  <c r="G34" i="9"/>
  <c r="G31" i="9"/>
  <c r="G30" i="9"/>
  <c r="G28" i="9"/>
  <c r="G26" i="9"/>
  <c r="G22" i="9"/>
  <c r="G20" i="9"/>
  <c r="G18" i="9"/>
  <c r="AZ18" i="9" s="1"/>
  <c r="G17" i="9"/>
  <c r="G14" i="9"/>
  <c r="AZ14" i="9" s="1"/>
  <c r="G13" i="9"/>
  <c r="G10" i="9"/>
  <c r="G9" i="9"/>
  <c r="G6" i="9"/>
  <c r="AZ261" i="10"/>
  <c r="AY261" i="10"/>
  <c r="AX261" i="10"/>
  <c r="AW261" i="10"/>
  <c r="AV261" i="10"/>
  <c r="AZ254" i="10"/>
  <c r="AY254" i="10"/>
  <c r="AX254" i="10"/>
  <c r="AW254" i="10"/>
  <c r="AV254" i="10"/>
  <c r="AZ243" i="10"/>
  <c r="AY243" i="10"/>
  <c r="AX243" i="10"/>
  <c r="AW243" i="10"/>
  <c r="AV243" i="10"/>
  <c r="AZ242" i="10"/>
  <c r="AY242" i="10"/>
  <c r="AX242" i="10"/>
  <c r="AW242" i="10"/>
  <c r="AV242" i="10"/>
  <c r="AZ241" i="10"/>
  <c r="AY241" i="10"/>
  <c r="AX241" i="10"/>
  <c r="AW241" i="10"/>
  <c r="AV241" i="10"/>
  <c r="AZ238" i="10"/>
  <c r="AY238" i="10"/>
  <c r="AX238" i="10"/>
  <c r="AW238" i="10"/>
  <c r="AZ235" i="10"/>
  <c r="AY235" i="10"/>
  <c r="AX235" i="10"/>
  <c r="AW235" i="10"/>
  <c r="AV235" i="10"/>
  <c r="AZ234" i="10"/>
  <c r="AY234" i="10"/>
  <c r="AX234" i="10"/>
  <c r="AW234" i="10"/>
  <c r="AZ233" i="10"/>
  <c r="AY233" i="10"/>
  <c r="AX233" i="10"/>
  <c r="AW233" i="10"/>
  <c r="AV233" i="10"/>
  <c r="AZ232" i="10"/>
  <c r="AY232" i="10"/>
  <c r="AX232" i="10"/>
  <c r="AW232" i="10"/>
  <c r="AV232" i="10"/>
  <c r="AZ231" i="10"/>
  <c r="AY231" i="10"/>
  <c r="AX231" i="10"/>
  <c r="AW231" i="10"/>
  <c r="AZ230" i="10"/>
  <c r="AY230" i="10"/>
  <c r="AX230" i="10"/>
  <c r="AW230" i="10"/>
  <c r="AZ229" i="10"/>
  <c r="AY229" i="10"/>
  <c r="AX229" i="10"/>
  <c r="AW229" i="10"/>
  <c r="AZ228" i="10"/>
  <c r="AY228" i="10"/>
  <c r="AX228" i="10"/>
  <c r="AW228" i="10"/>
  <c r="AZ227" i="10"/>
  <c r="AY227" i="10"/>
  <c r="AX227" i="10"/>
  <c r="AW227" i="10"/>
  <c r="AZ226" i="10"/>
  <c r="AY226" i="10"/>
  <c r="AX226" i="10"/>
  <c r="AW226" i="10"/>
  <c r="AZ225" i="10"/>
  <c r="AY225" i="10"/>
  <c r="AX225" i="10"/>
  <c r="AW225" i="10"/>
  <c r="AZ224" i="10"/>
  <c r="AY224" i="10"/>
  <c r="AX224" i="10"/>
  <c r="AW224" i="10"/>
  <c r="AZ223" i="10"/>
  <c r="AY223" i="10"/>
  <c r="AX223" i="10"/>
  <c r="AW223" i="10"/>
  <c r="AZ222" i="10"/>
  <c r="AY222" i="10"/>
  <c r="AX222" i="10"/>
  <c r="AW222" i="10"/>
  <c r="AZ221" i="10"/>
  <c r="AY221" i="10"/>
  <c r="AX221" i="10"/>
  <c r="AW221" i="10"/>
  <c r="AZ220" i="10"/>
  <c r="AY220" i="10"/>
  <c r="AX220" i="10"/>
  <c r="AW220" i="10"/>
  <c r="AV220" i="10"/>
  <c r="AZ218" i="10"/>
  <c r="AY218" i="10"/>
  <c r="AX218" i="10"/>
  <c r="AW218" i="10"/>
  <c r="AV218" i="10"/>
  <c r="AZ216" i="10"/>
  <c r="AY216" i="10"/>
  <c r="AX216" i="10"/>
  <c r="AW216" i="10"/>
  <c r="AV216" i="10"/>
  <c r="AZ214" i="10"/>
  <c r="AY214" i="10"/>
  <c r="AX214" i="10"/>
  <c r="AW214" i="10"/>
  <c r="AV214" i="10"/>
  <c r="AZ212" i="10"/>
  <c r="AY212" i="10"/>
  <c r="AX212" i="10"/>
  <c r="AW212" i="10"/>
  <c r="AV212" i="10"/>
  <c r="AZ210" i="10"/>
  <c r="AY210" i="10"/>
  <c r="AX210" i="10"/>
  <c r="AW210" i="10"/>
  <c r="AV210" i="10"/>
  <c r="AZ208" i="10"/>
  <c r="AY208" i="10"/>
  <c r="AX208" i="10"/>
  <c r="AW208" i="10"/>
  <c r="AV208" i="10"/>
  <c r="AZ206" i="10"/>
  <c r="AY206" i="10"/>
  <c r="AX206" i="10"/>
  <c r="AW206" i="10"/>
  <c r="AV206" i="10"/>
  <c r="AZ204" i="10"/>
  <c r="AY204" i="10"/>
  <c r="AX204" i="10"/>
  <c r="AW204" i="10"/>
  <c r="AV204" i="10"/>
  <c r="AZ202" i="10"/>
  <c r="AY202" i="10"/>
  <c r="AX202" i="10"/>
  <c r="AW202" i="10"/>
  <c r="AZ200" i="10"/>
  <c r="AY200" i="10"/>
  <c r="AX200" i="10"/>
  <c r="AW200" i="10"/>
  <c r="AZ198" i="10"/>
  <c r="AY198" i="10"/>
  <c r="AX198" i="10"/>
  <c r="AW198" i="10"/>
  <c r="AV198" i="10"/>
  <c r="AZ196" i="10"/>
  <c r="AY196" i="10"/>
  <c r="AX196" i="10"/>
  <c r="AW196" i="10"/>
  <c r="AV196" i="10"/>
  <c r="AZ194" i="10"/>
  <c r="AY194" i="10"/>
  <c r="AX194" i="10"/>
  <c r="AW194" i="10"/>
  <c r="AZ193" i="10"/>
  <c r="AY193" i="10"/>
  <c r="AX193" i="10"/>
  <c r="AW193" i="10"/>
  <c r="AZ192" i="10"/>
  <c r="AY192" i="10"/>
  <c r="AX192" i="10"/>
  <c r="AW192" i="10"/>
  <c r="AV192" i="10"/>
  <c r="AZ189" i="10"/>
  <c r="AY189" i="10"/>
  <c r="AX189" i="10"/>
  <c r="AW189" i="10"/>
  <c r="AV189" i="10"/>
  <c r="AZ188" i="10"/>
  <c r="AY188" i="10"/>
  <c r="AX188" i="10"/>
  <c r="AW188" i="10"/>
  <c r="AV188" i="10"/>
  <c r="AZ186" i="10"/>
  <c r="AY186" i="10"/>
  <c r="AX186" i="10"/>
  <c r="AW186" i="10"/>
  <c r="AZ185" i="10"/>
  <c r="AY185" i="10"/>
  <c r="AX185" i="10"/>
  <c r="AW185" i="10"/>
  <c r="AV185" i="10"/>
  <c r="AZ184" i="10"/>
  <c r="AY184" i="10"/>
  <c r="AX184" i="10"/>
  <c r="AW184" i="10"/>
  <c r="AV184" i="10"/>
  <c r="AZ178" i="10"/>
  <c r="AY178" i="10"/>
  <c r="AX178" i="10"/>
  <c r="AW178" i="10"/>
  <c r="AV178" i="10"/>
  <c r="AZ175" i="10"/>
  <c r="AY175" i="10"/>
  <c r="AX175" i="10"/>
  <c r="AW175" i="10"/>
  <c r="AV175" i="10"/>
  <c r="AZ159" i="10"/>
  <c r="AY159" i="10"/>
  <c r="AX159" i="10"/>
  <c r="AW159" i="10"/>
  <c r="AV159" i="10"/>
  <c r="AZ125" i="10"/>
  <c r="AY125" i="10"/>
  <c r="AX125" i="10"/>
  <c r="AW125" i="10"/>
  <c r="AV125" i="10"/>
  <c r="AZ121" i="10"/>
  <c r="AY121" i="10"/>
  <c r="AX121" i="10"/>
  <c r="AW121" i="10"/>
  <c r="AV121" i="10"/>
  <c r="AZ116" i="10"/>
  <c r="AY116" i="10"/>
  <c r="AX116" i="10"/>
  <c r="AW116" i="10"/>
  <c r="AV116" i="10"/>
  <c r="AZ94" i="10"/>
  <c r="AY94" i="10"/>
  <c r="AX94" i="10"/>
  <c r="AW94" i="10"/>
  <c r="AZ92" i="10"/>
  <c r="AY92" i="10"/>
  <c r="AX92" i="10"/>
  <c r="AW92" i="10"/>
  <c r="AV92" i="10"/>
  <c r="AZ86" i="10"/>
  <c r="AY86" i="10"/>
  <c r="AX86" i="10"/>
  <c r="AW86" i="10"/>
  <c r="AZ83" i="10"/>
  <c r="AY83" i="10"/>
  <c r="AX83" i="10"/>
  <c r="AW83" i="10"/>
  <c r="AV83" i="10"/>
  <c r="AZ80" i="10"/>
  <c r="AY80" i="10"/>
  <c r="AX80" i="10"/>
  <c r="AW80" i="10"/>
  <c r="AV80" i="10"/>
  <c r="AZ77" i="10"/>
  <c r="AY77" i="10"/>
  <c r="AX77" i="10"/>
  <c r="AW77" i="10"/>
  <c r="AV77" i="10"/>
  <c r="AZ76" i="10"/>
  <c r="AY76" i="10"/>
  <c r="AX76" i="10"/>
  <c r="AW76" i="10"/>
  <c r="AZ75" i="10"/>
  <c r="AY75" i="10"/>
  <c r="AX75" i="10"/>
  <c r="AW75" i="10"/>
  <c r="AV75" i="10"/>
  <c r="AZ9" i="10"/>
  <c r="AY9" i="10"/>
  <c r="AX9" i="10"/>
  <c r="AW9" i="10"/>
  <c r="AZ8" i="10"/>
  <c r="AY8" i="10"/>
  <c r="AX8" i="10"/>
  <c r="AW8" i="10"/>
  <c r="AZ6" i="10"/>
  <c r="AY6" i="10"/>
  <c r="AX6" i="10"/>
  <c r="AW6" i="10"/>
  <c r="AV6" i="10"/>
  <c r="B89" i="9"/>
  <c r="A89" i="9"/>
  <c r="B88" i="9"/>
  <c r="A88" i="9"/>
  <c r="B87" i="9"/>
  <c r="A87" i="9"/>
  <c r="B86" i="9"/>
  <c r="A86" i="9"/>
  <c r="BD80" i="9"/>
  <c r="BC80" i="9"/>
  <c r="BB80" i="9"/>
  <c r="BA80" i="9"/>
  <c r="BD79" i="9"/>
  <c r="BC79" i="9"/>
  <c r="BB79" i="9"/>
  <c r="BA79" i="9"/>
  <c r="BD78" i="9"/>
  <c r="BC78" i="9"/>
  <c r="BB78" i="9"/>
  <c r="BA78" i="9"/>
  <c r="AZ78" i="9"/>
  <c r="BD77" i="9"/>
  <c r="BC77" i="9"/>
  <c r="BB77" i="9"/>
  <c r="BA77" i="9"/>
  <c r="BD76" i="9"/>
  <c r="BC76" i="9"/>
  <c r="BB76" i="9"/>
  <c r="BA76" i="9"/>
  <c r="AZ76" i="9"/>
  <c r="BD75" i="9"/>
  <c r="BC75" i="9"/>
  <c r="BB75" i="9"/>
  <c r="BA75" i="9"/>
  <c r="BD74" i="9"/>
  <c r="BC74" i="9"/>
  <c r="BB74" i="9"/>
  <c r="BA74" i="9"/>
  <c r="BD73" i="9"/>
  <c r="BC73" i="9"/>
  <c r="BB73" i="9"/>
  <c r="BA73" i="9"/>
  <c r="BD72" i="9"/>
  <c r="BC72" i="9"/>
  <c r="BB72" i="9"/>
  <c r="BA72" i="9"/>
  <c r="BD71" i="9"/>
  <c r="BC71" i="9"/>
  <c r="BB71" i="9"/>
  <c r="BA71" i="9"/>
  <c r="BD70" i="9"/>
  <c r="BC70" i="9"/>
  <c r="BB70" i="9"/>
  <c r="BA70" i="9"/>
  <c r="BD69" i="9"/>
  <c r="BC69" i="9"/>
  <c r="BB69" i="9"/>
  <c r="BA69" i="9"/>
  <c r="BD68" i="9"/>
  <c r="BC68" i="9"/>
  <c r="BB68" i="9"/>
  <c r="BA68" i="9"/>
  <c r="BD67" i="9"/>
  <c r="BC67" i="9"/>
  <c r="BB67" i="9"/>
  <c r="BA67" i="9"/>
  <c r="BD66" i="9"/>
  <c r="BC66" i="9"/>
  <c r="BB66" i="9"/>
  <c r="BA66" i="9"/>
  <c r="BD65" i="9"/>
  <c r="BC65" i="9"/>
  <c r="BB65" i="9"/>
  <c r="BA65" i="9"/>
  <c r="BD64" i="9"/>
  <c r="BC64" i="9"/>
  <c r="BB64" i="9"/>
  <c r="BA64" i="9"/>
  <c r="BD63" i="9"/>
  <c r="BC63" i="9"/>
  <c r="BB63" i="9"/>
  <c r="BA63" i="9"/>
  <c r="BD62" i="9"/>
  <c r="BC62" i="9"/>
  <c r="BB62" i="9"/>
  <c r="BA62" i="9"/>
  <c r="BD61" i="9"/>
  <c r="BC61" i="9"/>
  <c r="BB61" i="9"/>
  <c r="BA61" i="9"/>
  <c r="BD60" i="9"/>
  <c r="BC60" i="9"/>
  <c r="BB60" i="9"/>
  <c r="BA60" i="9"/>
  <c r="BD59" i="9"/>
  <c r="BC59" i="9"/>
  <c r="BB59" i="9"/>
  <c r="BA59" i="9"/>
  <c r="BD58" i="9"/>
  <c r="BC58" i="9"/>
  <c r="BB58" i="9"/>
  <c r="BA58" i="9"/>
  <c r="BD57" i="9"/>
  <c r="BC57" i="9"/>
  <c r="BB57" i="9"/>
  <c r="BA57" i="9"/>
  <c r="BD56" i="9"/>
  <c r="BC56" i="9"/>
  <c r="BB56" i="9"/>
  <c r="BA56" i="9"/>
  <c r="AZ56" i="9"/>
  <c r="BD55" i="9"/>
  <c r="BC55" i="9"/>
  <c r="BB55" i="9"/>
  <c r="BA55" i="9"/>
  <c r="BD54" i="9"/>
  <c r="BC54" i="9"/>
  <c r="BB54" i="9"/>
  <c r="BA54" i="9"/>
  <c r="BD53" i="9"/>
  <c r="BC53" i="9"/>
  <c r="BB53" i="9"/>
  <c r="BA53" i="9"/>
  <c r="BD52" i="9"/>
  <c r="BC52" i="9"/>
  <c r="BB52" i="9"/>
  <c r="BA52" i="9"/>
  <c r="BD51" i="9"/>
  <c r="BC51" i="9"/>
  <c r="BB51" i="9"/>
  <c r="BA51" i="9"/>
  <c r="BD50" i="9"/>
  <c r="BC50" i="9"/>
  <c r="BB50" i="9"/>
  <c r="BA50" i="9"/>
  <c r="BD49" i="9"/>
  <c r="BC49" i="9"/>
  <c r="BB49" i="9"/>
  <c r="BA49" i="9"/>
  <c r="BD48" i="9"/>
  <c r="BC48" i="9"/>
  <c r="BB48" i="9"/>
  <c r="BA48" i="9"/>
  <c r="BD44" i="9"/>
  <c r="BD46" i="9" s="1"/>
  <c r="BC44" i="9"/>
  <c r="BC46" i="9" s="1"/>
  <c r="BB44" i="9"/>
  <c r="BB46" i="9" s="1"/>
  <c r="BA44" i="9"/>
  <c r="BA46" i="9" s="1"/>
  <c r="AZ44" i="9"/>
  <c r="AZ46" i="9" s="1"/>
  <c r="BD42" i="9"/>
  <c r="BC42" i="9"/>
  <c r="BB42" i="9"/>
  <c r="BA42" i="9"/>
  <c r="BD40" i="9"/>
  <c r="BC40" i="9"/>
  <c r="BB40" i="9"/>
  <c r="BA40" i="9"/>
  <c r="BD38" i="9"/>
  <c r="BC38" i="9"/>
  <c r="BB38" i="9"/>
  <c r="BA38" i="9"/>
  <c r="BD36" i="9"/>
  <c r="BC36" i="9"/>
  <c r="BB36" i="9"/>
  <c r="BA36" i="9"/>
  <c r="BD32" i="9"/>
  <c r="BC32" i="9"/>
  <c r="BB32" i="9"/>
  <c r="BA32" i="9"/>
  <c r="AZ32" i="9"/>
  <c r="BD25" i="9"/>
  <c r="BC25" i="9"/>
  <c r="BB25" i="9"/>
  <c r="BA25" i="9"/>
  <c r="AZ25" i="9"/>
  <c r="BD23" i="9"/>
  <c r="BC23" i="9"/>
  <c r="BB23" i="9"/>
  <c r="BA23" i="9"/>
  <c r="AZ23" i="9"/>
  <c r="BD19" i="9"/>
  <c r="BC19" i="9"/>
  <c r="BB19" i="9"/>
  <c r="BA19" i="9"/>
  <c r="AZ19" i="9"/>
  <c r="BD18" i="9"/>
  <c r="BC18" i="9"/>
  <c r="BB18" i="9"/>
  <c r="BA18" i="9"/>
  <c r="BD15" i="9"/>
  <c r="BC15" i="9"/>
  <c r="BB15" i="9"/>
  <c r="BA15" i="9"/>
  <c r="AZ15" i="9"/>
  <c r="BD14" i="9"/>
  <c r="BC14" i="9"/>
  <c r="BB14" i="9"/>
  <c r="BA14" i="9"/>
  <c r="BD11" i="9"/>
  <c r="BC11" i="9"/>
  <c r="BB11" i="9"/>
  <c r="BA11" i="9"/>
  <c r="AZ11" i="9"/>
  <c r="BD10" i="9"/>
  <c r="BC10" i="9"/>
  <c r="BB10" i="9"/>
  <c r="BA10" i="9"/>
  <c r="BD6" i="9"/>
  <c r="BC6" i="9"/>
  <c r="BB6" i="9"/>
  <c r="BA6" i="9"/>
  <c r="AZ6" i="9"/>
  <c r="E66" i="7"/>
  <c r="J66" i="7" s="1"/>
  <c r="A66" i="7"/>
  <c r="G113" i="10" l="1"/>
  <c r="G283" i="10" s="1"/>
  <c r="G260" i="10"/>
  <c r="G284" i="10" s="1"/>
  <c r="G100" i="10"/>
  <c r="G282" i="10" s="1"/>
  <c r="G89" i="9"/>
  <c r="G40" i="9"/>
  <c r="G86" i="9" s="1"/>
  <c r="AZ79" i="9"/>
  <c r="AW267" i="10"/>
  <c r="AV94" i="10"/>
  <c r="AV267" i="10" s="1"/>
  <c r="AY267" i="10"/>
  <c r="AZ267" i="10"/>
  <c r="AX267" i="10"/>
  <c r="G77" i="9"/>
  <c r="AZ42" i="9"/>
  <c r="AZ49" i="9"/>
  <c r="AV8" i="10"/>
  <c r="AZ10" i="9"/>
  <c r="G66" i="7"/>
  <c r="AZ40" i="9" l="1"/>
  <c r="G287" i="10"/>
  <c r="D19" i="3" s="1"/>
  <c r="AZ77" i="9"/>
  <c r="G88" i="9"/>
  <c r="G90" i="9" s="1"/>
  <c r="D18" i="3" s="1"/>
  <c r="L29" i="7"/>
  <c r="J150" i="1" l="1"/>
  <c r="G150" i="1"/>
  <c r="G152" i="1"/>
  <c r="G151" i="1" l="1"/>
  <c r="L152" i="1"/>
  <c r="L151" i="1"/>
  <c r="J151" i="1"/>
  <c r="L150" i="1"/>
  <c r="J152" i="1" l="1"/>
  <c r="J149" i="1" s="1"/>
  <c r="G149" i="1"/>
  <c r="D11" i="3" s="1"/>
  <c r="G163" i="1" l="1"/>
  <c r="E62" i="7" l="1"/>
  <c r="L62" i="7" s="1"/>
  <c r="B62" i="7"/>
  <c r="B64" i="7" s="1"/>
  <c r="B65" i="7" s="1"/>
  <c r="E61" i="7"/>
  <c r="L61" i="7" s="1"/>
  <c r="J60" i="7"/>
  <c r="E57" i="7"/>
  <c r="E58" i="7" s="1"/>
  <c r="L54" i="7"/>
  <c r="J54" i="7"/>
  <c r="G54" i="7"/>
  <c r="L53" i="7"/>
  <c r="J53" i="7"/>
  <c r="G53" i="7"/>
  <c r="L52" i="7"/>
  <c r="J52" i="7"/>
  <c r="G52" i="7"/>
  <c r="L51" i="7"/>
  <c r="J51" i="7"/>
  <c r="G51" i="7"/>
  <c r="E51" i="7"/>
  <c r="L50" i="7"/>
  <c r="J50" i="7"/>
  <c r="G50" i="7"/>
  <c r="L49" i="7"/>
  <c r="J49" i="7"/>
  <c r="G49" i="7"/>
  <c r="L48" i="7"/>
  <c r="J48" i="7"/>
  <c r="G48" i="7"/>
  <c r="L47" i="7"/>
  <c r="J47" i="7"/>
  <c r="G47" i="7"/>
  <c r="L46" i="7"/>
  <c r="J46" i="7"/>
  <c r="J40" i="7"/>
  <c r="E40" i="7"/>
  <c r="L40" i="7" s="1"/>
  <c r="E35" i="7"/>
  <c r="E34" i="7"/>
  <c r="E33" i="7"/>
  <c r="J31" i="7"/>
  <c r="G31" i="7"/>
  <c r="L30" i="7"/>
  <c r="J30" i="7"/>
  <c r="G30" i="7"/>
  <c r="B30" i="7"/>
  <c r="B31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51" i="7" s="1"/>
  <c r="B52" i="7" s="1"/>
  <c r="B53" i="7" s="1"/>
  <c r="B54" i="7" s="1"/>
  <c r="J29" i="7"/>
  <c r="G29" i="7"/>
  <c r="L28" i="7"/>
  <c r="E28" i="7"/>
  <c r="J28" i="7" s="1"/>
  <c r="L27" i="7"/>
  <c r="L25" i="7"/>
  <c r="E24" i="7"/>
  <c r="L24" i="7" s="1"/>
  <c r="E20" i="7"/>
  <c r="E22" i="7" s="1"/>
  <c r="E19" i="7"/>
  <c r="E18" i="7"/>
  <c r="L18" i="7" s="1"/>
  <c r="E17" i="7"/>
  <c r="L17" i="7" s="1"/>
  <c r="E16" i="7"/>
  <c r="L16" i="7" s="1"/>
  <c r="L15" i="7"/>
  <c r="E15" i="7"/>
  <c r="E14" i="7"/>
  <c r="L13" i="7"/>
  <c r="E13" i="7"/>
  <c r="J8" i="7"/>
  <c r="G8" i="7"/>
  <c r="A8" i="7"/>
  <c r="A11" i="7" s="1"/>
  <c r="A12" i="7" s="1"/>
  <c r="A24" i="7" s="1"/>
  <c r="A28" i="7" s="1"/>
  <c r="A29" i="7" s="1"/>
  <c r="A30" i="7" s="1"/>
  <c r="A31" i="7" s="1"/>
  <c r="A32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7" i="7" s="1"/>
  <c r="A58" i="7" s="1"/>
  <c r="A59" i="7" s="1"/>
  <c r="A60" i="7" s="1"/>
  <c r="A61" i="7" s="1"/>
  <c r="A62" i="7" s="1"/>
  <c r="A63" i="7" s="1"/>
  <c r="A64" i="7" s="1"/>
  <c r="A65" i="7" s="1"/>
  <c r="G7" i="7"/>
  <c r="G6" i="7" l="1"/>
  <c r="G69" i="7" s="1"/>
  <c r="E36" i="7"/>
  <c r="E37" i="7" s="1"/>
  <c r="G57" i="7"/>
  <c r="G62" i="7"/>
  <c r="L20" i="7"/>
  <c r="J57" i="7"/>
  <c r="L56" i="7"/>
  <c r="J62" i="7"/>
  <c r="E60" i="7"/>
  <c r="E63" i="7" s="1"/>
  <c r="G63" i="7" s="1"/>
  <c r="E21" i="7"/>
  <c r="L21" i="7" s="1"/>
  <c r="G40" i="7"/>
  <c r="E59" i="7"/>
  <c r="J58" i="7"/>
  <c r="L57" i="7"/>
  <c r="G58" i="7"/>
  <c r="L22" i="7"/>
  <c r="E11" i="7"/>
  <c r="E39" i="7"/>
  <c r="E32" i="7"/>
  <c r="E64" i="7"/>
  <c r="L14" i="7"/>
  <c r="G24" i="7"/>
  <c r="G59" i="7"/>
  <c r="G61" i="7"/>
  <c r="J24" i="7"/>
  <c r="G28" i="7"/>
  <c r="L31" i="7"/>
  <c r="J61" i="7"/>
  <c r="E23" i="7" l="1"/>
  <c r="L58" i="7"/>
  <c r="J7" i="7"/>
  <c r="J6" i="7" s="1"/>
  <c r="J59" i="7"/>
  <c r="G60" i="7"/>
  <c r="L7" i="7"/>
  <c r="L6" i="7" s="1"/>
  <c r="E44" i="7"/>
  <c r="E42" i="7"/>
  <c r="L39" i="7"/>
  <c r="J39" i="7"/>
  <c r="E45" i="7"/>
  <c r="E43" i="7"/>
  <c r="E41" i="7"/>
  <c r="G41" i="7" s="1"/>
  <c r="G39" i="7"/>
  <c r="J11" i="7"/>
  <c r="G11" i="7"/>
  <c r="L11" i="7"/>
  <c r="L64" i="7"/>
  <c r="E65" i="7"/>
  <c r="J64" i="7"/>
  <c r="G64" i="7"/>
  <c r="L32" i="7"/>
  <c r="J32" i="7"/>
  <c r="G32" i="7"/>
  <c r="L23" i="7"/>
  <c r="E12" i="7"/>
  <c r="G43" i="7" l="1"/>
  <c r="L42" i="7"/>
  <c r="J42" i="7"/>
  <c r="J41" i="7"/>
  <c r="L41" i="7"/>
  <c r="G42" i="7"/>
  <c r="G12" i="7"/>
  <c r="G10" i="7" s="1"/>
  <c r="G70" i="7" s="1"/>
  <c r="J12" i="7"/>
  <c r="J10" i="7" s="1"/>
  <c r="J63" i="7"/>
  <c r="L12" i="7"/>
  <c r="G65" i="7"/>
  <c r="G56" i="7" s="1"/>
  <c r="L65" i="7"/>
  <c r="J65" i="7"/>
  <c r="E46" i="7"/>
  <c r="G45" i="7"/>
  <c r="L44" i="7"/>
  <c r="J44" i="7"/>
  <c r="J43" i="7"/>
  <c r="L43" i="7"/>
  <c r="G44" i="7"/>
  <c r="L10" i="7"/>
  <c r="J86" i="1"/>
  <c r="G72" i="7" l="1"/>
  <c r="J56" i="7"/>
  <c r="J45" i="7"/>
  <c r="J27" i="7" s="1"/>
  <c r="G46" i="7"/>
  <c r="G27" i="7" s="1"/>
  <c r="G71" i="7" s="1"/>
  <c r="L45" i="7"/>
  <c r="G86" i="1"/>
  <c r="G146" i="1"/>
  <c r="J146" i="1"/>
  <c r="L146" i="1"/>
  <c r="G147" i="1"/>
  <c r="J147" i="1"/>
  <c r="L147" i="1"/>
  <c r="G125" i="1"/>
  <c r="L116" i="1"/>
  <c r="J100" i="1"/>
  <c r="L98" i="1"/>
  <c r="I126" i="1"/>
  <c r="I125" i="1"/>
  <c r="G73" i="7" l="1"/>
  <c r="D16" i="3" s="1"/>
  <c r="G98" i="1"/>
  <c r="G103" i="1"/>
  <c r="J116" i="1"/>
  <c r="J126" i="1"/>
  <c r="J125" i="1"/>
  <c r="G100" i="1"/>
  <c r="J98" i="1"/>
  <c r="L100" i="1"/>
  <c r="L126" i="1"/>
  <c r="G116" i="1"/>
  <c r="L125" i="1"/>
  <c r="J103" i="1" l="1"/>
  <c r="G126" i="1"/>
  <c r="L103" i="1"/>
  <c r="J17" i="1"/>
  <c r="J19" i="1"/>
  <c r="C44" i="1" l="1"/>
  <c r="L27" i="1"/>
  <c r="J27" i="1"/>
  <c r="G27" i="1"/>
  <c r="C78" i="5" l="1"/>
  <c r="BE77" i="5"/>
  <c r="BE78" i="5" s="1"/>
  <c r="BC77" i="5"/>
  <c r="BC78" i="5" s="1"/>
  <c r="BB77" i="5"/>
  <c r="BB78" i="5" s="1"/>
  <c r="BA77" i="5"/>
  <c r="BA78" i="5" s="1"/>
  <c r="G77" i="5"/>
  <c r="BD77" i="5" s="1"/>
  <c r="BD78" i="5" s="1"/>
  <c r="C75" i="5"/>
  <c r="BE74" i="5"/>
  <c r="BC74" i="5"/>
  <c r="BB74" i="5"/>
  <c r="BA74" i="5"/>
  <c r="G74" i="5"/>
  <c r="BD74" i="5" s="1"/>
  <c r="BE72" i="5"/>
  <c r="BC72" i="5"/>
  <c r="BB72" i="5"/>
  <c r="BA72" i="5"/>
  <c r="G72" i="5"/>
  <c r="BD72" i="5" s="1"/>
  <c r="BE70" i="5"/>
  <c r="BC70" i="5"/>
  <c r="BB70" i="5"/>
  <c r="BA70" i="5"/>
  <c r="G70" i="5"/>
  <c r="BD70" i="5" s="1"/>
  <c r="BE68" i="5"/>
  <c r="BC68" i="5"/>
  <c r="BB68" i="5"/>
  <c r="BA68" i="5"/>
  <c r="G68" i="5"/>
  <c r="BD68" i="5" s="1"/>
  <c r="BE66" i="5"/>
  <c r="BC66" i="5"/>
  <c r="BB66" i="5"/>
  <c r="BA66" i="5"/>
  <c r="G66" i="5"/>
  <c r="BD66" i="5" s="1"/>
  <c r="BE64" i="5"/>
  <c r="BC64" i="5"/>
  <c r="BB64" i="5"/>
  <c r="BA64" i="5"/>
  <c r="G64" i="5"/>
  <c r="BD64" i="5" s="1"/>
  <c r="BE62" i="5"/>
  <c r="BC62" i="5"/>
  <c r="BB62" i="5"/>
  <c r="BA62" i="5"/>
  <c r="G62" i="5"/>
  <c r="BD62" i="5" s="1"/>
  <c r="BE60" i="5"/>
  <c r="BC60" i="5"/>
  <c r="BB60" i="5"/>
  <c r="BA60" i="5"/>
  <c r="G60" i="5"/>
  <c r="BD60" i="5" s="1"/>
  <c r="BE59" i="5"/>
  <c r="BC59" i="5"/>
  <c r="BB59" i="5"/>
  <c r="BA59" i="5"/>
  <c r="G59" i="5"/>
  <c r="BD59" i="5" s="1"/>
  <c r="BE57" i="5"/>
  <c r="BC57" i="5"/>
  <c r="BB57" i="5"/>
  <c r="BA57" i="5"/>
  <c r="G57" i="5"/>
  <c r="BD57" i="5" s="1"/>
  <c r="BE55" i="5"/>
  <c r="BC55" i="5"/>
  <c r="BB55" i="5"/>
  <c r="BA55" i="5"/>
  <c r="G55" i="5"/>
  <c r="BD55" i="5" s="1"/>
  <c r="BE52" i="5"/>
  <c r="BC52" i="5"/>
  <c r="BB52" i="5"/>
  <c r="BA52" i="5"/>
  <c r="G52" i="5"/>
  <c r="BD52" i="5" s="1"/>
  <c r="BE50" i="5"/>
  <c r="BC50" i="5"/>
  <c r="BB50" i="5"/>
  <c r="BA50" i="5"/>
  <c r="G50" i="5"/>
  <c r="BD50" i="5" s="1"/>
  <c r="C48" i="5"/>
  <c r="BE47" i="5"/>
  <c r="BC47" i="5"/>
  <c r="BB47" i="5"/>
  <c r="BA47" i="5"/>
  <c r="G47" i="5"/>
  <c r="BD47" i="5" s="1"/>
  <c r="BE46" i="5"/>
  <c r="BC46" i="5"/>
  <c r="BB46" i="5"/>
  <c r="BA46" i="5"/>
  <c r="G46" i="5"/>
  <c r="BD46" i="5" s="1"/>
  <c r="BE45" i="5"/>
  <c r="BC45" i="5"/>
  <c r="BB45" i="5"/>
  <c r="BA45" i="5"/>
  <c r="G45" i="5"/>
  <c r="BD45" i="5" s="1"/>
  <c r="BE43" i="5"/>
  <c r="BC43" i="5"/>
  <c r="BB43" i="5"/>
  <c r="BA43" i="5"/>
  <c r="G43" i="5"/>
  <c r="BD43" i="5" s="1"/>
  <c r="BE42" i="5"/>
  <c r="BD42" i="5"/>
  <c r="BB42" i="5"/>
  <c r="BA42" i="5"/>
  <c r="G42" i="5"/>
  <c r="BC42" i="5" s="1"/>
  <c r="BE40" i="5"/>
  <c r="BC40" i="5"/>
  <c r="BB40" i="5"/>
  <c r="BA40" i="5"/>
  <c r="G40" i="5"/>
  <c r="BD40" i="5" s="1"/>
  <c r="BE39" i="5"/>
  <c r="BD39" i="5"/>
  <c r="BB39" i="5"/>
  <c r="BA39" i="5"/>
  <c r="G39" i="5"/>
  <c r="BC39" i="5" s="1"/>
  <c r="BE37" i="5"/>
  <c r="BC37" i="5"/>
  <c r="BB37" i="5"/>
  <c r="BA37" i="5"/>
  <c r="G37" i="5"/>
  <c r="BD37" i="5" s="1"/>
  <c r="BE36" i="5"/>
  <c r="BC36" i="5"/>
  <c r="BB36" i="5"/>
  <c r="BA36" i="5"/>
  <c r="G36" i="5"/>
  <c r="BD36" i="5" s="1"/>
  <c r="BE35" i="5"/>
  <c r="BD35" i="5"/>
  <c r="BB35" i="5"/>
  <c r="BA35" i="5"/>
  <c r="G35" i="5"/>
  <c r="BE33" i="5"/>
  <c r="BC33" i="5"/>
  <c r="BB33" i="5"/>
  <c r="BA33" i="5"/>
  <c r="G33" i="5"/>
  <c r="BD33" i="5" s="1"/>
  <c r="BE32" i="5"/>
  <c r="BD32" i="5"/>
  <c r="BB32" i="5"/>
  <c r="BA32" i="5"/>
  <c r="G32" i="5"/>
  <c r="BC32" i="5" s="1"/>
  <c r="BE30" i="5"/>
  <c r="BC30" i="5"/>
  <c r="BB30" i="5"/>
  <c r="BA30" i="5"/>
  <c r="G30" i="5"/>
  <c r="BD30" i="5" s="1"/>
  <c r="BE29" i="5"/>
  <c r="BD29" i="5"/>
  <c r="BB29" i="5"/>
  <c r="BA29" i="5"/>
  <c r="G29" i="5"/>
  <c r="BC29" i="5" s="1"/>
  <c r="BE27" i="5"/>
  <c r="BC27" i="5"/>
  <c r="BB27" i="5"/>
  <c r="BA27" i="5"/>
  <c r="G27" i="5"/>
  <c r="BD27" i="5" s="1"/>
  <c r="BE26" i="5"/>
  <c r="BD26" i="5"/>
  <c r="BB26" i="5"/>
  <c r="BA26" i="5"/>
  <c r="G26" i="5"/>
  <c r="BC26" i="5" s="1"/>
  <c r="BE24" i="5"/>
  <c r="BC24" i="5"/>
  <c r="BB24" i="5"/>
  <c r="BA24" i="5"/>
  <c r="G24" i="5"/>
  <c r="BD24" i="5" s="1"/>
  <c r="BE23" i="5"/>
  <c r="BD23" i="5"/>
  <c r="BB23" i="5"/>
  <c r="BA23" i="5"/>
  <c r="G23" i="5"/>
  <c r="BC23" i="5" s="1"/>
  <c r="BE21" i="5"/>
  <c r="BC21" i="5"/>
  <c r="BB21" i="5"/>
  <c r="BA21" i="5"/>
  <c r="G21" i="5"/>
  <c r="BD21" i="5" s="1"/>
  <c r="BE20" i="5"/>
  <c r="BD20" i="5"/>
  <c r="BC20" i="5"/>
  <c r="BB20" i="5"/>
  <c r="BA20" i="5"/>
  <c r="G20" i="5"/>
  <c r="BE18" i="5"/>
  <c r="BC18" i="5"/>
  <c r="BB18" i="5"/>
  <c r="BA18" i="5"/>
  <c r="G18" i="5"/>
  <c r="BD18" i="5" s="1"/>
  <c r="BE17" i="5"/>
  <c r="BD17" i="5"/>
  <c r="BB17" i="5"/>
  <c r="BA17" i="5"/>
  <c r="G17" i="5"/>
  <c r="BC17" i="5" s="1"/>
  <c r="BE15" i="5"/>
  <c r="BC15" i="5"/>
  <c r="BB15" i="5"/>
  <c r="BA15" i="5"/>
  <c r="G15" i="5"/>
  <c r="BD15" i="5" s="1"/>
  <c r="BE13" i="5"/>
  <c r="BC13" i="5"/>
  <c r="BB13" i="5"/>
  <c r="BA13" i="5"/>
  <c r="G13" i="5"/>
  <c r="BD13" i="5" s="1"/>
  <c r="BE11" i="5"/>
  <c r="BC11" i="5"/>
  <c r="BB11" i="5"/>
  <c r="BA11" i="5"/>
  <c r="G11" i="5"/>
  <c r="BD11" i="5" s="1"/>
  <c r="BE9" i="5"/>
  <c r="BC9" i="5"/>
  <c r="BB9" i="5"/>
  <c r="BA9" i="5"/>
  <c r="G9" i="5"/>
  <c r="C7" i="5"/>
  <c r="BE6" i="5"/>
  <c r="BE7" i="5" s="1"/>
  <c r="BC6" i="5"/>
  <c r="BC7" i="5" s="1"/>
  <c r="BB6" i="5"/>
  <c r="BB7" i="5" s="1"/>
  <c r="BA6" i="5"/>
  <c r="BA7" i="5" s="1"/>
  <c r="G6" i="5"/>
  <c r="BD6" i="5" s="1"/>
  <c r="BD7" i="5" s="1"/>
  <c r="BC75" i="5" l="1"/>
  <c r="BB48" i="5"/>
  <c r="BA48" i="5"/>
  <c r="G78" i="5"/>
  <c r="G85" i="5" s="1"/>
  <c r="G7" i="5"/>
  <c r="G82" i="5" s="1"/>
  <c r="BC35" i="5"/>
  <c r="BC48" i="5" s="1"/>
  <c r="G48" i="5"/>
  <c r="G83" i="5" s="1"/>
  <c r="BE75" i="5"/>
  <c r="BE48" i="5"/>
  <c r="BB75" i="5"/>
  <c r="BA75" i="5"/>
  <c r="G75" i="5"/>
  <c r="G84" i="5" s="1"/>
  <c r="BD75" i="5"/>
  <c r="BD9" i="5"/>
  <c r="BD48" i="5" s="1"/>
  <c r="C45" i="1"/>
  <c r="F96" i="1"/>
  <c r="C40" i="1"/>
  <c r="C39" i="1"/>
  <c r="C38" i="1"/>
  <c r="F42" i="1"/>
  <c r="F38" i="1"/>
  <c r="G86" i="5" l="1"/>
  <c r="D17" i="3" s="1"/>
  <c r="D20" i="3" s="1"/>
  <c r="C42" i="1"/>
  <c r="G169" i="1" l="1"/>
  <c r="G166" i="1"/>
  <c r="G170" i="1"/>
  <c r="J113" i="1"/>
  <c r="L113" i="1"/>
  <c r="G113" i="1"/>
  <c r="C41" i="1"/>
  <c r="A13" i="1"/>
  <c r="A14" i="1" s="1"/>
  <c r="A15" i="1" s="1"/>
  <c r="F11" i="1"/>
  <c r="L13" i="1" s="1"/>
  <c r="G165" i="1" l="1"/>
  <c r="D14" i="3" s="1"/>
  <c r="C37" i="1"/>
  <c r="G13" i="1"/>
  <c r="J13" i="1"/>
  <c r="J117" i="1" l="1"/>
  <c r="G117" i="1"/>
  <c r="L117" i="1"/>
  <c r="L120" i="1"/>
  <c r="G120" i="1"/>
  <c r="J120" i="1"/>
  <c r="J97" i="1"/>
  <c r="L97" i="1"/>
  <c r="G97" i="1"/>
  <c r="J108" i="1"/>
  <c r="L108" i="1"/>
  <c r="G108" i="1"/>
  <c r="L14" i="1"/>
  <c r="J14" i="1"/>
  <c r="G14" i="1"/>
  <c r="G160" i="1" l="1"/>
  <c r="G144" i="1"/>
  <c r="J144" i="1"/>
  <c r="L144" i="1"/>
  <c r="G145" i="1"/>
  <c r="J145" i="1"/>
  <c r="L145" i="1"/>
  <c r="B144" i="1"/>
  <c r="B145" i="1" s="1"/>
  <c r="B146" i="1" s="1"/>
  <c r="B147" i="1" s="1"/>
  <c r="G161" i="1"/>
  <c r="G162" i="1"/>
  <c r="B160" i="1"/>
  <c r="B161" i="1" s="1"/>
  <c r="B162" i="1" s="1"/>
  <c r="B163" i="1" s="1"/>
  <c r="J73" i="1"/>
  <c r="L73" i="1"/>
  <c r="J72" i="1"/>
  <c r="L71" i="1"/>
  <c r="J67" i="1"/>
  <c r="L67" i="1"/>
  <c r="L66" i="1"/>
  <c r="L65" i="1"/>
  <c r="L134" i="1"/>
  <c r="J138" i="1"/>
  <c r="I132" i="1"/>
  <c r="M131" i="1"/>
  <c r="I131" i="1"/>
  <c r="J131" i="1" s="1"/>
  <c r="I130" i="1"/>
  <c r="M130" i="1"/>
  <c r="G131" i="1"/>
  <c r="L131" i="1"/>
  <c r="J66" i="1" l="1"/>
  <c r="L72" i="1"/>
  <c r="J65" i="1"/>
  <c r="J71" i="1"/>
  <c r="G138" i="1"/>
  <c r="G135" i="1" l="1"/>
  <c r="J135" i="1"/>
  <c r="G137" i="1"/>
  <c r="G136" i="1"/>
  <c r="J68" i="1"/>
  <c r="G68" i="1"/>
  <c r="L68" i="1"/>
  <c r="J140" i="1"/>
  <c r="G140" i="1"/>
  <c r="J139" i="1"/>
  <c r="G139" i="1"/>
  <c r="G134" i="1" l="1"/>
  <c r="D9" i="3" s="1"/>
  <c r="J137" i="1"/>
  <c r="J136" i="1"/>
  <c r="J74" i="1"/>
  <c r="G74" i="1"/>
  <c r="L74" i="1"/>
  <c r="J134" i="1" l="1"/>
  <c r="G159" i="1"/>
  <c r="J57" i="1"/>
  <c r="L57" i="1"/>
  <c r="G57" i="1"/>
  <c r="G157" i="1" l="1"/>
  <c r="D13" i="3" s="1"/>
  <c r="L63" i="1"/>
  <c r="J63" i="1"/>
  <c r="G62" i="1" l="1"/>
  <c r="G61" i="1" s="1"/>
  <c r="D6" i="3" s="1"/>
  <c r="J62" i="1"/>
  <c r="J61" i="1" s="1"/>
  <c r="L62" i="1"/>
  <c r="L61" i="1" s="1"/>
  <c r="G132" i="1" l="1"/>
  <c r="J132" i="1"/>
  <c r="L132" i="1"/>
  <c r="L130" i="1"/>
  <c r="J130" i="1" l="1"/>
  <c r="G130" i="1"/>
  <c r="G90" i="1" s="1"/>
  <c r="L8" i="1"/>
  <c r="G52" i="1" l="1"/>
  <c r="J50" i="1"/>
  <c r="G50" i="1"/>
  <c r="L50" i="1"/>
  <c r="G8" i="1"/>
  <c r="J8" i="1"/>
  <c r="L52" i="1" l="1"/>
  <c r="J52" i="1"/>
  <c r="J18" i="1"/>
  <c r="G53" i="1" l="1"/>
  <c r="L53" i="1"/>
  <c r="J53" i="1"/>
  <c r="G18" i="1"/>
  <c r="L18" i="1"/>
  <c r="L143" i="1" l="1"/>
  <c r="L142" i="1" s="1"/>
  <c r="J143" i="1"/>
  <c r="J142" i="1" s="1"/>
  <c r="G143" i="1"/>
  <c r="G142" i="1" s="1"/>
  <c r="D10" i="3" l="1"/>
  <c r="J90" i="1" l="1"/>
  <c r="L90" i="1" l="1"/>
  <c r="J16" i="1" l="1"/>
  <c r="L16" i="1"/>
  <c r="G16" i="1"/>
  <c r="G49" i="1" l="1"/>
  <c r="L17" i="1"/>
  <c r="L19" i="1"/>
  <c r="G19" i="1"/>
  <c r="G17" i="1"/>
  <c r="G36" i="1" l="1"/>
  <c r="J49" i="1"/>
  <c r="L49" i="1"/>
  <c r="L36" i="1" l="1"/>
  <c r="J36" i="1"/>
  <c r="J15" i="1"/>
  <c r="J6" i="1"/>
  <c r="A16" i="1" l="1"/>
  <c r="A17" i="1" s="1"/>
  <c r="A18" i="1" s="1"/>
  <c r="A19" i="1" s="1"/>
  <c r="A20" i="1" s="1"/>
  <c r="G15" i="1"/>
  <c r="L15" i="1"/>
  <c r="J22" i="1" s="1"/>
  <c r="G6" i="1"/>
  <c r="L6" i="1"/>
  <c r="J24" i="1" s="1"/>
  <c r="J55" i="1" l="1"/>
  <c r="L55" i="1"/>
  <c r="G55" i="1"/>
  <c r="G22" i="1"/>
  <c r="L5" i="1"/>
  <c r="J20" i="1" s="1"/>
  <c r="G85" i="1"/>
  <c r="J81" i="1"/>
  <c r="G77" i="1"/>
  <c r="J85" i="1"/>
  <c r="G56" i="1" l="1"/>
  <c r="J56" i="1"/>
  <c r="L56" i="1"/>
  <c r="G58" i="1"/>
  <c r="J58" i="1"/>
  <c r="L58" i="1"/>
  <c r="J59" i="1"/>
  <c r="L59" i="1"/>
  <c r="G59" i="1"/>
  <c r="A21" i="1"/>
  <c r="A22" i="1" s="1"/>
  <c r="A23" i="1" s="1"/>
  <c r="A24" i="1" s="1"/>
  <c r="A27" i="1" s="1"/>
  <c r="A29" i="1" s="1"/>
  <c r="A36" i="1" s="1"/>
  <c r="G24" i="1"/>
  <c r="J88" i="1"/>
  <c r="G81" i="1"/>
  <c r="L81" i="1"/>
  <c r="J77" i="1"/>
  <c r="L77" i="1"/>
  <c r="J84" i="1"/>
  <c r="L85" i="1"/>
  <c r="G29" i="1"/>
  <c r="J29" i="1"/>
  <c r="J26" i="1" s="1"/>
  <c r="G26" i="1" l="1"/>
  <c r="D5" i="3" s="1"/>
  <c r="L88" i="1"/>
  <c r="G88" i="1"/>
  <c r="J76" i="1"/>
  <c r="L84" i="1"/>
  <c r="G84" i="1"/>
  <c r="L29" i="1"/>
  <c r="L26" i="1" s="1"/>
  <c r="J23" i="1"/>
  <c r="G76" i="1" l="1"/>
  <c r="L76" i="1"/>
  <c r="G20" i="1"/>
  <c r="G21" i="1" l="1"/>
  <c r="J21" i="1"/>
  <c r="J5" i="1" s="1"/>
  <c r="J154" i="1" s="1"/>
  <c r="D7" i="3"/>
  <c r="L154" i="1"/>
  <c r="G23" i="1"/>
  <c r="G5" i="1" l="1"/>
  <c r="D4" i="3" s="1"/>
  <c r="G155" i="1"/>
  <c r="G154" i="1" s="1"/>
  <c r="D12" i="3" l="1"/>
  <c r="D8" i="3" l="1"/>
  <c r="D15" i="3" s="1"/>
  <c r="D22" i="3" l="1"/>
  <c r="D33" i="3" l="1"/>
  <c r="D34" i="3" s="1"/>
  <c r="D35" i="3" s="1"/>
  <c r="A49" i="1"/>
  <c r="A50" i="1" s="1"/>
  <c r="A52" i="1" s="1"/>
  <c r="A53" i="1" s="1"/>
  <c r="A55" i="1" s="1"/>
  <c r="A56" i="1" s="1"/>
  <c r="A57" i="1" s="1"/>
  <c r="A58" i="1" s="1"/>
  <c r="A59" i="1" s="1"/>
  <c r="A62" i="1" s="1"/>
  <c r="A68" i="1" s="1"/>
  <c r="A74" i="1" s="1"/>
  <c r="A77" i="1" s="1"/>
  <c r="A81" i="1" s="1"/>
  <c r="A84" i="1" s="1"/>
  <c r="A85" i="1" s="1"/>
  <c r="A86" i="1" s="1"/>
  <c r="A88" i="1" s="1"/>
  <c r="A97" i="1" l="1"/>
  <c r="A98" i="1" s="1"/>
  <c r="A100" i="1" s="1"/>
  <c r="A103" i="1" s="1"/>
  <c r="A108" i="1" s="1"/>
  <c r="A113" i="1" s="1"/>
  <c r="A116" i="1" s="1"/>
  <c r="A117" i="1" s="1"/>
  <c r="A120" i="1" s="1"/>
  <c r="A125" i="1" s="1"/>
  <c r="A126" i="1" s="1"/>
  <c r="A129" i="1" s="1"/>
  <c r="A130" i="1" l="1"/>
  <c r="A135" i="1" s="1"/>
  <c r="A136" i="1" s="1"/>
  <c r="A137" i="1" s="1"/>
  <c r="A138" i="1" s="1"/>
  <c r="A139" i="1" s="1"/>
  <c r="A140" i="1" s="1"/>
  <c r="A143" i="1" s="1"/>
  <c r="A144" i="1" s="1"/>
  <c r="A145" i="1" s="1"/>
  <c r="A146" i="1" l="1"/>
  <c r="A147" i="1" s="1"/>
  <c r="A150" i="1" l="1"/>
  <c r="A151" i="1" s="1"/>
  <c r="A152" i="1" s="1"/>
  <c r="A155" i="1" l="1"/>
  <c r="A159" i="1" s="1"/>
  <c r="A160" i="1" s="1"/>
  <c r="A161" i="1" s="1"/>
  <c r="A162" i="1" s="1"/>
  <c r="A163" i="1" s="1"/>
  <c r="A166" i="1" s="1"/>
  <c r="A169" i="1" s="1"/>
  <c r="A170" i="1" s="1"/>
</calcChain>
</file>

<file path=xl/sharedStrings.xml><?xml version="1.0" encoding="utf-8"?>
<sst xmlns="http://schemas.openxmlformats.org/spreadsheetml/2006/main" count="1692" uniqueCount="979">
  <si>
    <t>Stavební část</t>
  </si>
  <si>
    <t>pol.č.</t>
  </si>
  <si>
    <t>Kód</t>
  </si>
  <si>
    <t>Popis</t>
  </si>
  <si>
    <t>MJ</t>
  </si>
  <si>
    <t>počet</t>
  </si>
  <si>
    <t>Jedn. cena</t>
  </si>
  <si>
    <t>Cena</t>
  </si>
  <si>
    <t>Jedn. hmotn.</t>
  </si>
  <si>
    <t>Hmotnost</t>
  </si>
  <si>
    <t>Jedn. suť</t>
  </si>
  <si>
    <t>Suť</t>
  </si>
  <si>
    <t>1</t>
  </si>
  <si>
    <t xml:space="preserve"> Investor : Město Český Krumlov Náměstí Svornosti 1</t>
  </si>
  <si>
    <t>Zřízení oboustranného bednění nosných nadzákladových zdí</t>
  </si>
  <si>
    <t>Odstranění oboustranného bednění nosných nadzákladových zdí</t>
  </si>
  <si>
    <t>t</t>
  </si>
  <si>
    <r>
      <t>m</t>
    </r>
    <r>
      <rPr>
        <vertAlign val="superscript"/>
        <sz val="9"/>
        <rFont val="Arial"/>
        <family val="2"/>
        <charset val="238"/>
      </rPr>
      <t>3</t>
    </r>
  </si>
  <si>
    <t>CS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</si>
  <si>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</si>
  <si>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i/>
        <vertAlign val="superscript"/>
        <sz val="9"/>
        <rFont val="Arial"/>
        <family val="2"/>
        <charset val="238"/>
      </rPr>
      <t>3</t>
    </r>
  </si>
  <si>
    <t>tun</t>
  </si>
  <si>
    <t>Bourání základů z betonu prostého</t>
  </si>
  <si>
    <t>m2</t>
  </si>
  <si>
    <t>Asfaltové plochy = živice 100 mm+200 mm ŠD</t>
  </si>
  <si>
    <t>m</t>
  </si>
  <si>
    <r>
      <t xml:space="preserve">Řezání stávajícího živičného krytu hl do 100 mm </t>
    </r>
    <r>
      <rPr>
        <i/>
        <sz val="9"/>
        <rFont val="Arial"/>
        <family val="2"/>
        <charset val="238"/>
      </rPr>
      <t>- odhadem</t>
    </r>
  </si>
  <si>
    <t>Poplatek za uložení na skládce (skládkovné) odpadu asfaltového bez dehtu kód odpadu 17 03 02</t>
  </si>
  <si>
    <t>Poplatek za uložení na skládce (skládkovné) zeminy a kamení kód odpadu 17 05 04</t>
  </si>
  <si>
    <t>Poplatek za uložení na skládce (skládkovné) stavebního odpadu betonového kód odpadu 17 01 01</t>
  </si>
  <si>
    <t>odkopávky celkem</t>
  </si>
  <si>
    <t>m3</t>
  </si>
  <si>
    <r>
      <t xml:space="preserve">Odstranění podkladu z kameniva drceného tl 200 mm </t>
    </r>
    <r>
      <rPr>
        <u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 xml:space="preserve"> pl přes 50 do 200 m2</t>
    </r>
  </si>
  <si>
    <r>
      <t xml:space="preserve">Odstranění podkladů nebo krytů </t>
    </r>
    <r>
      <rPr>
        <u/>
        <sz val="9"/>
        <rFont val="Arial"/>
        <family val="2"/>
        <charset val="238"/>
      </rPr>
      <t>ručně</t>
    </r>
    <r>
      <rPr>
        <sz val="9"/>
        <rFont val="Arial"/>
        <family val="2"/>
        <charset val="238"/>
      </rPr>
      <t xml:space="preserve"> s přemístěním hmot na skládku na vzdálenost do 3 m nebo s naložením na dopravní prostředek živičných, o tl. vrstvy přes 50 do 100 mm</t>
    </r>
  </si>
  <si>
    <r>
      <t xml:space="preserve">Odstranění podkladu živičného tl 100 mm </t>
    </r>
    <r>
      <rPr>
        <u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 xml:space="preserve"> pl přes 200 m2</t>
    </r>
  </si>
  <si>
    <r>
      <t xml:space="preserve">Odstranění podkladu z kameniva drceného tl 200 mm </t>
    </r>
    <r>
      <rPr>
        <u/>
        <sz val="9"/>
        <rFont val="Arial"/>
        <family val="2"/>
        <charset val="238"/>
      </rPr>
      <t>ručně</t>
    </r>
  </si>
  <si>
    <r>
      <t>m</t>
    </r>
    <r>
      <rPr>
        <vertAlign val="superscript"/>
        <sz val="9"/>
        <color rgb="FF000000"/>
        <rFont val="Arial"/>
        <family val="2"/>
        <charset val="238"/>
      </rPr>
      <t>2</t>
    </r>
  </si>
  <si>
    <t>M2</t>
  </si>
  <si>
    <r>
      <t>m</t>
    </r>
    <r>
      <rPr>
        <b/>
        <i/>
        <vertAlign val="superscript"/>
        <sz val="11"/>
        <color rgb="FF000000"/>
        <rFont val="Segoe UI"/>
        <family val="2"/>
        <charset val="238"/>
      </rPr>
      <t>3</t>
    </r>
  </si>
  <si>
    <r>
      <t>Hřbitov Český Krumlov</t>
    </r>
    <r>
      <rPr>
        <sz val="10"/>
        <rFont val="Arial"/>
        <family val="2"/>
        <charset val="238"/>
      </rPr>
      <t xml:space="preserve"> - Hřbitovní ulice</t>
    </r>
  </si>
  <si>
    <t>Přesun hmot pro pozemní komunikace s krytem dlážděným</t>
  </si>
  <si>
    <t>Elektroinstalace - silnoproud</t>
  </si>
  <si>
    <r>
      <t xml:space="preserve">součet </t>
    </r>
    <r>
      <rPr>
        <b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 </t>
    </r>
  </si>
  <si>
    <r>
      <t xml:space="preserve">součet </t>
    </r>
    <r>
      <rPr>
        <b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   </t>
    </r>
  </si>
  <si>
    <r>
      <t xml:space="preserve">součet </t>
    </r>
    <r>
      <rPr>
        <b/>
        <sz val="11"/>
        <color theme="1"/>
        <rFont val="Arial"/>
        <family val="2"/>
        <charset val="238"/>
      </rPr>
      <t>A +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</t>
    </r>
  </si>
  <si>
    <t>Vedlejší rozpočtové náklady</t>
  </si>
  <si>
    <t>ON</t>
  </si>
  <si>
    <t>Geodetické práce při provádění stavby</t>
  </si>
  <si>
    <t>Dokumentace skutečného provedení stavby</t>
  </si>
  <si>
    <t>Zařízení staveniště</t>
  </si>
  <si>
    <t>Kompletační činnost</t>
  </si>
  <si>
    <r>
      <t xml:space="preserve">součet </t>
    </r>
    <r>
      <rPr>
        <b/>
        <sz val="11"/>
        <color theme="1"/>
        <rFont val="Arial"/>
        <family val="2"/>
        <charset val="238"/>
      </rPr>
      <t>C</t>
    </r>
    <r>
      <rPr>
        <sz val="11"/>
        <color theme="1"/>
        <rFont val="Arial"/>
        <family val="2"/>
        <charset val="238"/>
      </rPr>
      <t xml:space="preserve">    </t>
    </r>
  </si>
  <si>
    <r>
      <t xml:space="preserve">součet </t>
    </r>
    <r>
      <rPr>
        <b/>
        <sz val="11"/>
        <color theme="1"/>
        <rFont val="Arial"/>
        <family val="2"/>
        <charset val="238"/>
      </rPr>
      <t xml:space="preserve">A - C  </t>
    </r>
  </si>
  <si>
    <t xml:space="preserve"> DPH  21%</t>
  </si>
  <si>
    <t>R -pol.</t>
  </si>
  <si>
    <t>bm</t>
  </si>
  <si>
    <t>979024443</t>
  </si>
  <si>
    <t>Očištění vybouraných obrubníků a krajníků silničních</t>
  </si>
  <si>
    <r>
      <t>Odkopávky a prokopávky v hornině třídy těžitelnosti I, skupiny 3</t>
    </r>
    <r>
      <rPr>
        <u/>
        <sz val="9"/>
        <rFont val="Arial"/>
        <family val="2"/>
        <charset val="238"/>
      </rPr>
      <t xml:space="preserve"> ručně</t>
    </r>
  </si>
  <si>
    <t>Vytrhání obrub s vybouráním lože, s přemístěním hmot na skládku na vzdálenost do 3 m nebo s naložením na dopravní prostředek z krajníků nebo obrubníků stojatých</t>
  </si>
  <si>
    <t>Bourání zdiva nadzákladového z betonu prostého přes 1 m3</t>
  </si>
  <si>
    <t>nádrž voda</t>
  </si>
  <si>
    <t>Zřízení příložného pažení stěn výkopu hl do 4 m</t>
  </si>
  <si>
    <t>Odstranění příložného pažení stěn hl do 4 m</t>
  </si>
  <si>
    <r>
      <t>m</t>
    </r>
    <r>
      <rPr>
        <i/>
        <vertAlign val="superscript"/>
        <sz val="11"/>
        <color rgb="FF000000"/>
        <rFont val="Segoe UI"/>
        <family val="2"/>
        <charset val="238"/>
      </rPr>
      <t>3</t>
    </r>
  </si>
  <si>
    <t>Podklad z kameniva hrubého drceného vel. 32-63 mm tl 220 mm  R2</t>
  </si>
  <si>
    <t>564850000 R</t>
  </si>
  <si>
    <t>R pol.</t>
  </si>
  <si>
    <t>564850002 R</t>
  </si>
  <si>
    <t>916330000 R</t>
  </si>
  <si>
    <t>916330001 R</t>
  </si>
  <si>
    <r>
      <rPr>
        <b/>
        <i/>
        <sz val="10"/>
        <rFont val="Arial"/>
        <family val="2"/>
        <charset val="238"/>
      </rPr>
      <t>Zpevněné plochy</t>
    </r>
    <r>
      <rPr>
        <i/>
        <sz val="10"/>
        <rFont val="Arial"/>
        <family val="2"/>
        <charset val="238"/>
      </rPr>
      <t xml:space="preserve"> - předpoklad 20% ručně 80% strojně</t>
    </r>
  </si>
  <si>
    <t>Vodorovné přemístění do 10000 m výkopku/sypaniny z horniny třídy těžitelnosti I, skupiny 1 až 3</t>
  </si>
  <si>
    <t>Uložení sypaniny na skládky nebo meziskládky</t>
  </si>
  <si>
    <t>Komunikace</t>
  </si>
  <si>
    <r>
      <t xml:space="preserve">JC je včetně dopravy </t>
    </r>
    <r>
      <rPr>
        <i/>
        <u/>
        <sz val="9"/>
        <rFont val="Arial"/>
        <family val="2"/>
        <charset val="238"/>
      </rPr>
      <t>z "mixu" čerpadlem na místo uložení</t>
    </r>
    <r>
      <rPr>
        <i/>
        <sz val="9"/>
        <rFont val="Arial"/>
        <family val="2"/>
        <charset val="238"/>
      </rPr>
      <t xml:space="preserve"> !</t>
    </r>
  </si>
  <si>
    <t>poznámka :</t>
  </si>
  <si>
    <r>
      <t>341321410</t>
    </r>
    <r>
      <rPr>
        <b/>
        <sz val="9"/>
        <rFont val="Arial"/>
        <family val="2"/>
        <charset val="238"/>
      </rPr>
      <t>R</t>
    </r>
  </si>
  <si>
    <r>
      <t>311351911</t>
    </r>
    <r>
      <rPr>
        <b/>
        <sz val="9"/>
        <rFont val="Arial"/>
        <family val="2"/>
        <charset val="238"/>
      </rPr>
      <t>R</t>
    </r>
  </si>
  <si>
    <t>kpl</t>
  </si>
  <si>
    <r>
      <t>m</t>
    </r>
    <r>
      <rPr>
        <i/>
        <vertAlign val="superscript"/>
        <sz val="9"/>
        <color rgb="FF000000"/>
        <rFont val="Arial"/>
        <family val="2"/>
        <charset val="238"/>
      </rPr>
      <t>2</t>
    </r>
  </si>
  <si>
    <t>Rekapitulace nákladů objektu</t>
  </si>
  <si>
    <r>
      <t xml:space="preserve">Dodávka dlažby </t>
    </r>
    <r>
      <rPr>
        <b/>
        <sz val="9"/>
        <rFont val="Arial"/>
        <family val="2"/>
        <charset val="238"/>
      </rPr>
      <t xml:space="preserve">světlé </t>
    </r>
    <r>
      <rPr>
        <sz val="9"/>
        <rFont val="Arial"/>
        <family val="2"/>
        <charset val="238"/>
      </rPr>
      <t xml:space="preserve"> - DK0115 Odseky od žulových štípaných kostek netříděné  tl.150 mm 1 tuna = cca 6,0 m2</t>
    </r>
  </si>
  <si>
    <r>
      <t>Kladení dlažby z kostek s provedením lože do tl.40 mm, s vyplněním spár, s dvojím beraněním a se smetením přebytečného materiálu na krajnici , do lože z kameniva těženého -</t>
    </r>
    <r>
      <rPr>
        <i/>
        <u/>
        <sz val="9"/>
        <rFont val="Arial"/>
        <family val="2"/>
        <charset val="238"/>
      </rPr>
      <t xml:space="preserve"> srovnatelně pro odsekovou dlažbu R1 ,dvoubarevné provedení</t>
    </r>
  </si>
  <si>
    <t xml:space="preserve"> Úprava pláně vyrovnáním výškových rozdílů strojně v hornině třídy těžitelnosti I, skupiny 1 až 3 se zhutněním</t>
  </si>
  <si>
    <r>
      <t xml:space="preserve">Zahliněná lomová výsivka fr. 0/4 ML tl.40 mm  - </t>
    </r>
    <r>
      <rPr>
        <i/>
        <sz val="9"/>
        <rFont val="Arial"/>
        <family val="2"/>
        <charset val="238"/>
      </rPr>
      <t>R2+R3</t>
    </r>
  </si>
  <si>
    <t>Podklad ze štěrkodrtě ŠD tl 80 mm - R2+R3</t>
  </si>
  <si>
    <r>
      <t>Ocelové obrubníky š. 250 mm, tl. 8 mm,kotvené do betonového lože cca 300x300 mm  označ.</t>
    </r>
    <r>
      <rPr>
        <b/>
        <sz val="9"/>
        <rFont val="Arial"/>
        <family val="2"/>
        <charset val="238"/>
      </rPr>
      <t>06a</t>
    </r>
  </si>
  <si>
    <r>
      <t xml:space="preserve">Ocelové obrubníky </t>
    </r>
    <r>
      <rPr>
        <u/>
        <sz val="9"/>
        <rFont val="Arial"/>
        <family val="2"/>
        <charset val="238"/>
      </rPr>
      <t>obloukové</t>
    </r>
    <r>
      <rPr>
        <sz val="9"/>
        <rFont val="Arial"/>
        <family val="2"/>
        <charset val="238"/>
      </rPr>
      <t xml:space="preserve"> š. 250 mm, tl. 8 mm,kotvené do betonového lože cca 300x300 mm  označ.</t>
    </r>
    <r>
      <rPr>
        <b/>
        <sz val="9"/>
        <rFont val="Arial"/>
        <family val="2"/>
        <charset val="238"/>
      </rPr>
      <t>06b</t>
    </r>
  </si>
  <si>
    <r>
      <t>Ocel. Obrubník š.150 mm, tl. 5 mm na trny z konstr. oceli průměru 12 mm v rozteči 500 mm zakotvenéy do podkladní vrstvy zeminy a štěrku, případně v případě nutnosti do patky ze suchého betonu  označ.</t>
    </r>
    <r>
      <rPr>
        <b/>
        <sz val="9"/>
        <rFont val="Arial"/>
        <family val="2"/>
        <charset val="238"/>
      </rPr>
      <t>07</t>
    </r>
  </si>
  <si>
    <t>lavičky 01</t>
  </si>
  <si>
    <t>lavičky 02</t>
  </si>
  <si>
    <t>lavičky 03</t>
  </si>
  <si>
    <t>Podklad ze směsi stmelené cementem SC C 5/6 (KSC II) tl 150 mm - R1+R5</t>
  </si>
  <si>
    <t>Odstranění bednění rýh a hran v podlahách</t>
  </si>
  <si>
    <t>Příplatek k mazanině tl do 240 mm za plochu do 5 m2</t>
  </si>
  <si>
    <r>
      <t xml:space="preserve">Příplatek k mazanině tl do 240 mm za přehlazení </t>
    </r>
    <r>
      <rPr>
        <i/>
        <sz val="9"/>
        <rFont val="Arial"/>
        <family val="2"/>
        <charset val="238"/>
      </rPr>
      <t>= KARTÁČOVÁNÍ povrchu</t>
    </r>
  </si>
  <si>
    <t>Příplatek k cenám betonových mazanin za vyztužení polypropylenovými mikrovlákny objemové vyztužení 0,9 kg/m3</t>
  </si>
  <si>
    <t>Základové pásy z betonu tř. C 25/30</t>
  </si>
  <si>
    <t>Zřízení bednění základových pasů rovného</t>
  </si>
  <si>
    <t>Odstranění bednění základových pasů rovného</t>
  </si>
  <si>
    <r>
      <t>Krycí dvířka pro zásuvkovou krabici  - elektro NN označ.</t>
    </r>
    <r>
      <rPr>
        <b/>
        <sz val="9"/>
        <rFont val="Arial"/>
        <family val="2"/>
        <charset val="238"/>
      </rPr>
      <t>04</t>
    </r>
  </si>
  <si>
    <t>Dokončující konstrukce a práce</t>
  </si>
  <si>
    <t>ks</t>
  </si>
  <si>
    <t>Bourání konstrukcí</t>
  </si>
  <si>
    <t>Zemní práce</t>
  </si>
  <si>
    <t>Základy</t>
  </si>
  <si>
    <t>Svislé konstrukce</t>
  </si>
  <si>
    <t>Podlahy a podlahové konstrukce</t>
  </si>
  <si>
    <t>Přesun hmot</t>
  </si>
  <si>
    <t>767 - Konstrukce zámečnické</t>
  </si>
  <si>
    <r>
      <t xml:space="preserve">Dokončující konstrukce a práce  </t>
    </r>
    <r>
      <rPr>
        <i/>
        <sz val="9"/>
        <color indexed="18"/>
        <rFont val="Arial"/>
        <family val="2"/>
        <charset val="238"/>
      </rPr>
      <t>- podrobný popis viz  A600 tabulka výrobků</t>
    </r>
  </si>
  <si>
    <r>
      <t xml:space="preserve">767- Konstrukce zámečnické </t>
    </r>
    <r>
      <rPr>
        <sz val="9"/>
        <color indexed="18"/>
        <rFont val="Arial"/>
        <family val="2"/>
        <charset val="238"/>
      </rPr>
      <t xml:space="preserve">- </t>
    </r>
    <r>
      <rPr>
        <i/>
        <sz val="9"/>
        <color indexed="18"/>
        <rFont val="Arial"/>
        <family val="2"/>
        <charset val="238"/>
      </rPr>
      <t>podrobný popis viz  A600 tabulka výrobků</t>
    </r>
  </si>
  <si>
    <r>
      <rPr>
        <b/>
        <i/>
        <sz val="9"/>
        <rFont val="Arial"/>
        <family val="2"/>
        <charset val="238"/>
      </rPr>
      <t>poznámka</t>
    </r>
    <r>
      <rPr>
        <i/>
        <sz val="9"/>
        <rFont val="Arial"/>
        <family val="2"/>
        <charset val="238"/>
      </rPr>
      <t xml:space="preserve"> : všechny výměry jsou určené digitálně z výkresů.</t>
    </r>
  </si>
  <si>
    <r>
      <t>Odkopávky a prokopávky nezapažené v hornině třídy těžitelnosti I, skupiny 3 objem do 1000 m3</t>
    </r>
    <r>
      <rPr>
        <u/>
        <sz val="9"/>
        <rFont val="Arial"/>
        <family val="2"/>
        <charset val="238"/>
      </rPr>
      <t xml:space="preserve"> strojně</t>
    </r>
  </si>
  <si>
    <r>
      <rPr>
        <b/>
        <i/>
        <sz val="9"/>
        <rFont val="Arial"/>
        <family val="2"/>
        <charset val="238"/>
      </rPr>
      <t>Jednotková cena</t>
    </r>
    <r>
      <rPr>
        <i/>
        <sz val="9"/>
        <rFont val="Arial"/>
        <family val="2"/>
        <charset val="238"/>
      </rPr>
      <t xml:space="preserve"> je kompletní = za dodávku,montáž,přesun hmot a případné další nutné náklady</t>
    </r>
  </si>
  <si>
    <t>skladba R1+R2+R3+R4+R6</t>
  </si>
  <si>
    <t>0,25*0,25*0,75*2*10</t>
  </si>
  <si>
    <t>0,5*0,5*0,5*2*5</t>
  </si>
  <si>
    <t>1,0*1,4*0,25</t>
  </si>
  <si>
    <t>2</t>
  </si>
  <si>
    <t>(1,0+1,4-0,4)*0,20*0,9*2</t>
  </si>
  <si>
    <t>zástěna b</t>
  </si>
  <si>
    <t>zástěna c</t>
  </si>
  <si>
    <t>světlá=175 m2 tmavá 560 m2</t>
  </si>
  <si>
    <r>
      <t>m</t>
    </r>
    <r>
      <rPr>
        <i/>
        <vertAlign val="superscript"/>
        <sz val="9"/>
        <rFont val="Arial"/>
        <family val="2"/>
        <charset val="238"/>
      </rPr>
      <t>2</t>
    </r>
  </si>
  <si>
    <r>
      <t xml:space="preserve">Mazanina </t>
    </r>
    <r>
      <rPr>
        <b/>
        <sz val="9"/>
        <rFont val="Arial"/>
        <family val="2"/>
        <charset val="238"/>
      </rPr>
      <t xml:space="preserve">probarvená </t>
    </r>
    <r>
      <rPr>
        <sz val="9"/>
        <rFont val="Arial"/>
        <family val="2"/>
        <charset val="238"/>
      </rPr>
      <t>tl do 240 mm z betonu prostého bez zvýšených nároků na prostředí tř. C 25/30</t>
    </r>
    <r>
      <rPr>
        <i/>
        <sz val="9"/>
        <rFont val="Arial"/>
        <family val="2"/>
        <charset val="238"/>
      </rPr>
      <t xml:space="preserve"> - </t>
    </r>
    <r>
      <rPr>
        <b/>
        <i/>
        <sz val="9"/>
        <rFont val="Arial"/>
        <family val="2"/>
        <charset val="238"/>
      </rPr>
      <t xml:space="preserve">R5 </t>
    </r>
    <r>
      <rPr>
        <i/>
        <sz val="9"/>
        <rFont val="Arial"/>
        <family val="2"/>
        <charset val="238"/>
      </rPr>
      <t>*0,19</t>
    </r>
  </si>
  <si>
    <t>Zřízení bednění rýh a hran v podlahách =0,2*(1,35+3+2,07)</t>
  </si>
  <si>
    <t>SO 02</t>
  </si>
  <si>
    <t xml:space="preserve">                   listopad 2020</t>
  </si>
  <si>
    <t>(1,35*0,55+3,55*0,35)*(0,71-0,49)</t>
  </si>
  <si>
    <t>(0,55*1,5+0,35*(1,5+2,77))*(0,71-0,49)</t>
  </si>
  <si>
    <t>skladba R1 m2</t>
  </si>
  <si>
    <t>skladba R2 m2</t>
  </si>
  <si>
    <t>skladba R3 m2</t>
  </si>
  <si>
    <t>skladba R4 m2</t>
  </si>
  <si>
    <t>skladba R5 m2</t>
  </si>
  <si>
    <t>skladba R6 bm</t>
  </si>
  <si>
    <t xml:space="preserve">živice </t>
  </si>
  <si>
    <r>
      <t xml:space="preserve">z toho </t>
    </r>
    <r>
      <rPr>
        <b/>
        <i/>
        <sz val="9"/>
        <rFont val="Arial"/>
        <family val="2"/>
        <charset val="238"/>
      </rPr>
      <t>strojně</t>
    </r>
    <r>
      <rPr>
        <i/>
        <sz val="9"/>
        <rFont val="Arial"/>
        <family val="2"/>
        <charset val="238"/>
      </rPr>
      <t xml:space="preserve"> odhadem 90%</t>
    </r>
  </si>
  <si>
    <r>
      <t>z toho</t>
    </r>
    <r>
      <rPr>
        <b/>
        <i/>
        <sz val="9"/>
        <rFont val="Arial"/>
        <family val="2"/>
        <charset val="238"/>
      </rPr>
      <t xml:space="preserve"> ručně</t>
    </r>
    <r>
      <rPr>
        <i/>
        <sz val="9"/>
        <rFont val="Arial"/>
        <family val="2"/>
        <charset val="238"/>
      </rPr>
      <t xml:space="preserve"> (kolem stromů atd.) odhadem 10%</t>
    </r>
  </si>
  <si>
    <t>(1,35*0,55+3,55*0,35)*0,71</t>
  </si>
  <si>
    <t>(0,55*1,5+0,35*(1,5+2,77))*0,71</t>
  </si>
  <si>
    <t>(1,7+3,55+0,35+3+1,35+0,55)*0,49</t>
  </si>
  <si>
    <t>(0,55+1,7+2,77+1,7+0,35+1,35*2+4,21)*0,49</t>
  </si>
  <si>
    <t>1,69*(0,15*(3,35-0,35)+0,35*1,5-1,5*0,125*0,5)-0,8*0,4*0,225</t>
  </si>
  <si>
    <t>1,69*(0,15*1,65+2,17)+0,35*1,65-1,65*0,125*0,5))-0,8*0,4*0,225</t>
  </si>
  <si>
    <t>(0,35+1,35+3+0,15+3,35+1,5*1,1)*1,69+0,225*(0,8+0,4)*2+0,8*0,4</t>
  </si>
  <si>
    <t>(0,35+1,65*1,1+2,57+1,65+0,15+1,5*2+2,07)*1,69+0,225*(0,8+0,4)*2+0,8*0,4</t>
  </si>
  <si>
    <r>
      <t>Výztuž nosných zdí betonářskou ocelí 10 505 -</t>
    </r>
    <r>
      <rPr>
        <i/>
        <u/>
        <sz val="9"/>
        <rFont val="Arial"/>
        <family val="2"/>
        <charset val="238"/>
      </rPr>
      <t xml:space="preserve"> výkres statka = 0,2023+0,2468</t>
    </r>
  </si>
  <si>
    <t>175 m2/6</t>
  </si>
  <si>
    <t>560 m2/6</t>
  </si>
  <si>
    <t>Podklad ze štěrkodrtě ŠD tl 150 mm - R1+R2+R5+R6=bm*0,25</t>
  </si>
  <si>
    <t>P.č.</t>
  </si>
  <si>
    <t>Číslo položky</t>
  </si>
  <si>
    <t>Název položky</t>
  </si>
  <si>
    <t>množství</t>
  </si>
  <si>
    <t>cena / MJ</t>
  </si>
  <si>
    <t>celkem (Kč)</t>
  </si>
  <si>
    <t>Díl:</t>
  </si>
  <si>
    <t>M20</t>
  </si>
  <si>
    <t>210 01-PC001</t>
  </si>
  <si>
    <t>Demontáž stávajících zásuvkových skříní RZ včetně odpojení, ekologické likvidace odpadu</t>
  </si>
  <si>
    <t>Celkem za</t>
  </si>
  <si>
    <t>M21</t>
  </si>
  <si>
    <t>Kabelové rozvody NN</t>
  </si>
  <si>
    <t>210 10-0252.R00</t>
  </si>
  <si>
    <t xml:space="preserve">Ukončení celoplast. kabelů zákl./pás.do 4x25 mm2 </t>
  </si>
  <si>
    <t>kus</t>
  </si>
  <si>
    <t>E2: 2+2+1+1</t>
  </si>
  <si>
    <t>210 10-0003.R00</t>
  </si>
  <si>
    <t xml:space="preserve">Ukončení vodičů v rozvaděči + zapojení do 16 mm2 </t>
  </si>
  <si>
    <t>E2: 3</t>
  </si>
  <si>
    <t>211 01-0011.R00</t>
  </si>
  <si>
    <t xml:space="preserve">Osazení hmoždinky do tvrd.kamene/betonu, HM 10 </t>
  </si>
  <si>
    <t>E2: 4+4+4</t>
  </si>
  <si>
    <t>210 19-0042.R00</t>
  </si>
  <si>
    <t>Osazení plastových rozvodnic SS do výklenku ekvivalentní položka</t>
  </si>
  <si>
    <t>E2: 2</t>
  </si>
  <si>
    <t>357-PC002</t>
  </si>
  <si>
    <t>Skříň zásuvková RZ, přívod 3xCYKY do 4x25, proud.chr.30mA, zas.3x230V, 16A, 1x400V-16A, 32A</t>
  </si>
  <si>
    <t>210 19-0003.R00</t>
  </si>
  <si>
    <t>Montáž celoplechových rozvodnic do váhy 100 kg energetický sloupek - ekvivalentní položka</t>
  </si>
  <si>
    <t>E2: 1</t>
  </si>
  <si>
    <t>357-PC0023</t>
  </si>
  <si>
    <t>Energetický sloupek s proud.chráničem 30mA 2xzásuvka 230V/16A, 1xzásuvka400V, 16A</t>
  </si>
  <si>
    <t>212 19-0005.R00</t>
  </si>
  <si>
    <t xml:space="preserve">Osazení kabelové vývodky P 36 </t>
  </si>
  <si>
    <t>D2: 6+3</t>
  </si>
  <si>
    <t>345-PC004</t>
  </si>
  <si>
    <t xml:space="preserve">Vývodka elektroinstalační PVC P36 rovná </t>
  </si>
  <si>
    <t>210 22-0022.R00</t>
  </si>
  <si>
    <t xml:space="preserve">Vedení uzemňovací v zemi FeZn, D 8 - 10 mm </t>
  </si>
  <si>
    <t>E2: 3+3+3</t>
  </si>
  <si>
    <t>354-PC005</t>
  </si>
  <si>
    <t xml:space="preserve">Drát uzemňovací pozinkovaný 8 mm </t>
  </si>
  <si>
    <t>E2: 61+49+64</t>
  </si>
  <si>
    <t>354-PC006</t>
  </si>
  <si>
    <t xml:space="preserve">Drát uzemňovací pozinkovaný 10 mm </t>
  </si>
  <si>
    <t>210 22-0301.R00</t>
  </si>
  <si>
    <t xml:space="preserve">Svorka hromosvodová do 2 šroubů /SS, SZ, SO/ </t>
  </si>
  <si>
    <t>E2: 2+2+2+2+2</t>
  </si>
  <si>
    <t>354-PC007</t>
  </si>
  <si>
    <t xml:space="preserve">Svorka SSR - zesílená </t>
  </si>
  <si>
    <t>354-PC008</t>
  </si>
  <si>
    <t xml:space="preserve">Svorka universální SUA nerez </t>
  </si>
  <si>
    <t>210 29-2022.R00</t>
  </si>
  <si>
    <t xml:space="preserve">Vypnutí vedení a zajištění tabulkou proti zapnutí </t>
  </si>
  <si>
    <t>210 80-0549.R00</t>
  </si>
  <si>
    <t xml:space="preserve">Vodič nn a vn CY 16 mm2 uložený pevně </t>
  </si>
  <si>
    <t>341-PC009</t>
  </si>
  <si>
    <t xml:space="preserve">Vodič silový CYA zelenožlutý 16,00 mm2 - drát </t>
  </si>
  <si>
    <t>210 81-0014.R00</t>
  </si>
  <si>
    <t xml:space="preserve">Kabel CYKY-m 750 V 4 x 16 mm2 volně uložený </t>
  </si>
  <si>
    <t>E2: 24+62+52+67</t>
  </si>
  <si>
    <t>341-PC010</t>
  </si>
  <si>
    <t xml:space="preserve">Kabel silový s Cu jádrem 750 V CYKY 4B x16 mm2 </t>
  </si>
  <si>
    <t>210 95-0101.RT1</t>
  </si>
  <si>
    <t>Štítek označovací na kabel včetně dodávky štítku</t>
  </si>
  <si>
    <t>E2: 3+1+1+3</t>
  </si>
  <si>
    <t>141 R00</t>
  </si>
  <si>
    <t xml:space="preserve">Přirážka na podružný materiál </t>
  </si>
  <si>
    <t>%</t>
  </si>
  <si>
    <t>142 R00</t>
  </si>
  <si>
    <t xml:space="preserve">Přirážka na prořez </t>
  </si>
  <si>
    <t>201 R00</t>
  </si>
  <si>
    <t xml:space="preserve">Podíl přidružených výkonů </t>
  </si>
  <si>
    <t>M46</t>
  </si>
  <si>
    <t>Zemní práce při montážích</t>
  </si>
  <si>
    <t>460 01-0023.RT2</t>
  </si>
  <si>
    <t>Vytýčení kabelové trasy ve volném terénu délka trasy do 500 m</t>
  </si>
  <si>
    <t>km</t>
  </si>
  <si>
    <t>E2: (9+58+50+52)*0,001</t>
  </si>
  <si>
    <t>460 20-0004.R00</t>
  </si>
  <si>
    <t>Výkop kabelové rýhy 20/20 cm, hornina 4 ekvivalentní položka</t>
  </si>
  <si>
    <t>E2: 9+58+50+52</t>
  </si>
  <si>
    <t>460 20-0134.RT1</t>
  </si>
  <si>
    <t>Výkop kabelové rýhy 35/50 cm  hor.4 strojní výkop rýhy</t>
  </si>
  <si>
    <t>460 30-0001.RT1</t>
  </si>
  <si>
    <t>Záhrn rýh strojem v zastavěném prostoru záhrn rýh a úprava terénu</t>
  </si>
  <si>
    <t>E2: (9+58+50+52)*0,26*0,35</t>
  </si>
  <si>
    <t>460 30-0006.RT1</t>
  </si>
  <si>
    <t>Hutnění zeminy po vrstvách 20 cm hutnění po strojním záhrnu rýh</t>
  </si>
  <si>
    <t>460 42-0018.RT3</t>
  </si>
  <si>
    <t xml:space="preserve">Zřízení kabelového lože v rýze š. do 35 cm z písku </t>
  </si>
  <si>
    <t>460 49-0012.RT1</t>
  </si>
  <si>
    <t>Zakrytí kabelu výstražnou folií PVC, šířka 33 cm fólie PVC šířka 33 cm</t>
  </si>
  <si>
    <t>460 51-0021.RT1</t>
  </si>
  <si>
    <t>Kabelový prostup z plast.trub, DN do 10,5 cm včetně dodávky trub DN 50mm</t>
  </si>
  <si>
    <t>460 57-0004.R00</t>
  </si>
  <si>
    <t>Zához rýhy 20/20 cm, hornina třídy 4, se zhutněním ekvivalentní popložka</t>
  </si>
  <si>
    <t>460 60-0001.RT1</t>
  </si>
  <si>
    <t>Naložení a odvoz zeminy ocenění viz rozpočet stavební části</t>
  </si>
  <si>
    <t>E2: (9+58+50+52)*0,24*0,35</t>
  </si>
  <si>
    <t>460 62-0014.R00</t>
  </si>
  <si>
    <t xml:space="preserve">Provizorní úprava terénu v přírodní hornině 4 </t>
  </si>
  <si>
    <t>E2: (9+58+50+52)*0,35</t>
  </si>
  <si>
    <t>460 70-0001.RT1</t>
  </si>
  <si>
    <t>Označení kabelového vedení osazení a dodání kabelového označníku</t>
  </si>
  <si>
    <t>E2: 5</t>
  </si>
  <si>
    <t>460 92-PC011</t>
  </si>
  <si>
    <t>Zaměření a zobrazení kabel. trasy na pevný bod včetně vytýčení stávajícího kabelu VO</t>
  </si>
  <si>
    <t>M96</t>
  </si>
  <si>
    <t>Výchozí revize</t>
  </si>
  <si>
    <t>210-PC013</t>
  </si>
  <si>
    <t xml:space="preserve">Výchozí revize </t>
  </si>
  <si>
    <t>hod</t>
  </si>
  <si>
    <t xml:space="preserve"> listopad 2020</t>
  </si>
  <si>
    <t>Zařízení silnoproudé elektrotechniky</t>
  </si>
  <si>
    <t>SO 02  Soupis prací</t>
  </si>
  <si>
    <r>
      <t>stavba : Hřbitov Český Krumlov</t>
    </r>
    <r>
      <rPr>
        <sz val="10"/>
        <rFont val="Arial"/>
        <family val="2"/>
        <charset val="238"/>
      </rPr>
      <t xml:space="preserve"> - Hřbitovní ul.</t>
    </r>
    <r>
      <rPr>
        <b/>
        <sz val="10"/>
        <rFont val="Arial"/>
        <family val="2"/>
        <charset val="238"/>
      </rPr>
      <t xml:space="preserve"> </t>
    </r>
  </si>
  <si>
    <t>REKAPITULACE</t>
  </si>
  <si>
    <t>Demontáže</t>
  </si>
  <si>
    <t>Zařízení silnoproudé elektrotechniky  Celkem</t>
  </si>
  <si>
    <t>Demontaže</t>
  </si>
  <si>
    <r>
      <t>stavba : Hřbitov Český Krumlov</t>
    </r>
    <r>
      <rPr>
        <sz val="10"/>
        <rFont val="Arial"/>
        <family val="2"/>
        <charset val="238"/>
      </rPr>
      <t xml:space="preserve"> - Hřbitovní ul.</t>
    </r>
  </si>
  <si>
    <t>plocha dle podkladů projektanta</t>
  </si>
  <si>
    <t>skrývka ornice</t>
  </si>
  <si>
    <t>odpočty objemu započteného v bourání a skrývce</t>
  </si>
  <si>
    <r>
      <t xml:space="preserve">Uložení sypaniny z hornin nesoudržných a sypkých do násypů zhutněných v aktivní zóně silnic a dálnic </t>
    </r>
    <r>
      <rPr>
        <i/>
        <sz val="9"/>
        <rFont val="Arial"/>
        <family val="2"/>
        <charset val="238"/>
      </rPr>
      <t>- odhadem rezerva</t>
    </r>
  </si>
  <si>
    <t xml:space="preserve">              listopad 2020</t>
  </si>
  <si>
    <t>R-pol.</t>
  </si>
  <si>
    <t>hnojení přidáním hnojiva typu Osmocote 12-14 do substrátu typu A, 0,5kg/m3</t>
  </si>
  <si>
    <t>kg</t>
  </si>
  <si>
    <t>hnojivo (typu Osmocote; 12-14; 0,5kg/m3)</t>
  </si>
  <si>
    <t>aplikace ektomykorhizních přípravků do pěstebního substrátu typu A  (typu Symbivit; 12kg/m3)</t>
  </si>
  <si>
    <t xml:space="preserve">ektomykorhizní přípravek (typu Symbivit) </t>
  </si>
  <si>
    <t>aplikace půdních kondicionerů do pěstebního substrátu typu A (typu TerraCottem; 1,5kg/m3)</t>
  </si>
  <si>
    <t>půdní kondicioner (typu TerraCottem)</t>
  </si>
  <si>
    <t xml:space="preserve">zálivka vysazeného stromu vodou, 100l </t>
  </si>
  <si>
    <t>ochranný nátěr typu Arboflex, bílý odstín (podkladová+vrchní vrstva)</t>
  </si>
  <si>
    <t>Odstranění křovin a stromů průměru kmene do 100 mm i s kořeny sklonu terénu do 1:5 ručně</t>
  </si>
  <si>
    <t>Odstranění pařezů D do 0,4 m v rovině a svahu 1:5 s odklizením do 20 m a zasypáním jámy</t>
  </si>
  <si>
    <t>0,5*0,5*0,6*2*0</t>
  </si>
  <si>
    <t>0,5*0,6*4*2*0</t>
  </si>
  <si>
    <t>0,5*0,6*4*2*5</t>
  </si>
  <si>
    <r>
      <t>Stěny nosné z </t>
    </r>
    <r>
      <rPr>
        <u/>
        <sz val="9"/>
        <rFont val="Arial"/>
        <family val="2"/>
        <charset val="238"/>
      </rPr>
      <t>probarveného betonu</t>
    </r>
    <r>
      <rPr>
        <sz val="9"/>
        <rFont val="Arial"/>
        <family val="2"/>
        <charset val="238"/>
      </rPr>
      <t xml:space="preserve"> ze ŽB tř. C 25/30 například RAL 7026  </t>
    </r>
    <r>
      <rPr>
        <i/>
        <sz val="9"/>
        <rFont val="Arial"/>
        <family val="2"/>
        <charset val="238"/>
      </rPr>
      <t>- podrobná specifikace konstrukce viz Technická zpráva</t>
    </r>
  </si>
  <si>
    <r>
      <rPr>
        <b/>
        <sz val="9"/>
        <rFont val="Arial"/>
        <family val="2"/>
        <charset val="238"/>
      </rPr>
      <t xml:space="preserve">Příplatek k cenám bednění </t>
    </r>
    <r>
      <rPr>
        <sz val="9"/>
        <rFont val="Arial"/>
        <family val="2"/>
        <charset val="238"/>
      </rPr>
      <t xml:space="preserve">nosných nadzákladových zdí za pohledový beton ,bednění bude připraveno například ze systému nosníkového bednění, který umožní dosáhnout vysoké nároky na pohledovost povrchu. </t>
    </r>
    <r>
      <rPr>
        <i/>
        <sz val="9"/>
        <rFont val="Arial"/>
        <family val="2"/>
        <charset val="238"/>
      </rPr>
      <t>Podrobný popis viz Technická zpráva</t>
    </r>
  </si>
  <si>
    <t>R2</t>
  </si>
  <si>
    <t>R3</t>
  </si>
  <si>
    <t>R1</t>
  </si>
  <si>
    <t>R5</t>
  </si>
  <si>
    <t>R6 = bm * 0,25</t>
  </si>
  <si>
    <t>R4</t>
  </si>
  <si>
    <t xml:space="preserve">Geotextilie pro separaci a filtraci netkaná hmot.do 200 g/m2 </t>
  </si>
  <si>
    <t>R1 2x</t>
  </si>
  <si>
    <t>R5 2x</t>
  </si>
  <si>
    <t>R6 = bm *( 0,25+0,5)</t>
  </si>
  <si>
    <r>
      <t xml:space="preserve">Štěrkotrávník  tl.150 mm </t>
    </r>
    <r>
      <rPr>
        <sz val="9"/>
        <rFont val="Arial"/>
        <family val="2"/>
        <charset val="238"/>
      </rPr>
      <t xml:space="preserve">-(10-20% obj. zeminy - kompostu a 80-90% obj. štěrku - zrnitost 0/32-0/45  </t>
    </r>
  </si>
  <si>
    <t>R6</t>
  </si>
  <si>
    <r>
      <t>Kontejner 1100 l plastový s plochým víkem DOPNER, černý označ.</t>
    </r>
    <r>
      <rPr>
        <b/>
        <sz val="9"/>
        <rFont val="Arial"/>
        <family val="2"/>
        <charset val="238"/>
      </rPr>
      <t>12</t>
    </r>
  </si>
  <si>
    <r>
      <t>Kontejner 770 l BIO plastový DOPNER, hnědá označ.</t>
    </r>
    <r>
      <rPr>
        <b/>
        <sz val="9"/>
        <rFont val="Arial"/>
        <family val="2"/>
        <charset val="238"/>
      </rPr>
      <t>13</t>
    </r>
  </si>
  <si>
    <r>
      <t>Lavička dřevěná - kotvená  označ.</t>
    </r>
    <r>
      <rPr>
        <b/>
        <sz val="9"/>
        <rFont val="Arial"/>
        <family val="2"/>
        <charset val="238"/>
      </rPr>
      <t>02</t>
    </r>
  </si>
  <si>
    <r>
      <t>Lavička betonová oblouková - prefabrikovaná označ.</t>
    </r>
    <r>
      <rPr>
        <b/>
        <sz val="9"/>
        <rFont val="Arial"/>
        <family val="2"/>
        <charset val="238"/>
      </rPr>
      <t>03</t>
    </r>
  </si>
  <si>
    <t>dle obrubníků =( 690+19)*0,8</t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</si>
  <si>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R1 Dlažba odseková   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</si>
  <si>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R2  Mlat pojížděný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</si>
  <si>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R3 Mlat mezi hroby  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</si>
  <si>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R4 stěrkotrávník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</si>
  <si>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R5 podlaha zástěny b+c</t>
    </r>
    <r>
      <rPr>
        <sz val="9"/>
        <color rgb="FF002060"/>
        <rFont val="Arial"/>
        <family val="2"/>
        <charset val="238"/>
      </rPr>
      <t xml:space="preserve"> = 1,35*3+1,5*2,07</t>
    </r>
  </si>
  <si>
    <r>
      <t>Komunikace -</t>
    </r>
    <r>
      <rPr>
        <sz val="10"/>
        <color rgb="FF000080"/>
        <rFont val="Arial"/>
        <family val="2"/>
        <charset val="238"/>
      </rPr>
      <t xml:space="preserve"> u všech vrstev zpevněných ploch je nutné dodržet v TZ </t>
    </r>
    <r>
      <rPr>
        <u/>
        <sz val="10"/>
        <color rgb="FF000080"/>
        <rFont val="Arial"/>
        <family val="2"/>
        <charset val="238"/>
      </rPr>
      <t>uvedené ČSN</t>
    </r>
  </si>
  <si>
    <t>Dodatečné vlepování betonářské výztuže včetně vyvrtání a vyčištění otvoru cementovou aktivovanou maltou průměr výztuže 12 mm - statika pol.2</t>
  </si>
  <si>
    <t xml:space="preserve">výztuž pol.2 </t>
  </si>
  <si>
    <t>0,15*(15+17)</t>
  </si>
  <si>
    <t>Vegetační úpravy</t>
  </si>
  <si>
    <t>A - Přípravné práce</t>
  </si>
  <si>
    <t xml:space="preserve">B - Zemní práce </t>
  </si>
  <si>
    <r>
      <t xml:space="preserve">Hloubení nezapažených rýh šířky přes 800 do 2 000 mm </t>
    </r>
    <r>
      <rPr>
        <b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 xml:space="preserve"> s urovnáním dna do předepsaného profilu a spádu v hornině třídy těžitelnosti I skupiny 3 přes 500 do 1 000 m3</t>
    </r>
  </si>
  <si>
    <r>
      <t xml:space="preserve">Hloubení rýh šířky přes 800 do 2 000 mm </t>
    </r>
    <r>
      <rPr>
        <b/>
        <sz val="9"/>
        <rFont val="Arial"/>
        <family val="2"/>
        <charset val="238"/>
      </rPr>
      <t xml:space="preserve">ručně </t>
    </r>
    <r>
      <rPr>
        <sz val="9"/>
        <rFont val="Arial"/>
        <family val="2"/>
        <charset val="238"/>
      </rPr>
      <t>zapažených i nezapažených, s urovnáním dna do předepsaného profilu a spádu v hornině třídy těžitelnosti I skupiny 3 soudržných</t>
    </r>
  </si>
  <si>
    <t>Výsad. jáma</t>
  </si>
  <si>
    <t>2,4*0,7*1,04*8</t>
  </si>
  <si>
    <t>2,4*0,8*1,04*10</t>
  </si>
  <si>
    <t>2,4*1*1,04*6</t>
  </si>
  <si>
    <t>2,4*1,4*1,04*11</t>
  </si>
  <si>
    <t>1,8*1,8*1,04*2</t>
  </si>
  <si>
    <t>atyp</t>
  </si>
  <si>
    <t>((1+1,3)*0,5*2,4+2,05*1,3*0,5)*1,05</t>
  </si>
  <si>
    <t>(1,5*2,05+2,05*2,15)*1,05</t>
  </si>
  <si>
    <t>výkop pro buňky</t>
  </si>
  <si>
    <t>0,45*(1,04-0,49)*(35*4+2*7+1*6)</t>
  </si>
  <si>
    <t xml:space="preserve">rýhy celkem   </t>
  </si>
  <si>
    <r>
      <t xml:space="preserve">z toho hloubení rýh šířky přes 800 do 2 000 mm </t>
    </r>
    <r>
      <rPr>
        <b/>
        <i/>
        <sz val="9"/>
        <rFont val="Arial"/>
        <family val="2"/>
        <charset val="238"/>
      </rPr>
      <t>strojně</t>
    </r>
  </si>
  <si>
    <r>
      <t xml:space="preserve">z toho hloubení rýh šířky přes 800 do 2 000 mm </t>
    </r>
    <r>
      <rPr>
        <b/>
        <i/>
        <sz val="9"/>
        <rFont val="Arial"/>
        <family val="2"/>
        <charset val="238"/>
      </rPr>
      <t>ručně</t>
    </r>
  </si>
  <si>
    <t>Podsyp pod základové konstrukce se zhutněním z hrubého kameniva frakce 16 až 32 mm</t>
  </si>
  <si>
    <t>buňky</t>
  </si>
  <si>
    <t>0,6*0,65*(35*4+2*7+1*6)*0,1</t>
  </si>
  <si>
    <t>C - Výsadba stromů</t>
  </si>
  <si>
    <t>Výsadba dřeviny s balem do předem vyhloubené jamky se zalitím v rovině nebo na svahu do 1:5, při průměru balu přes 500 do 600 mm</t>
  </si>
  <si>
    <t>Acer campestre 'Elegant' Vk 3xp 200 14-16</t>
  </si>
  <si>
    <t>Tilia cordata 'Rancho' Vk 3xp 200 16-18</t>
  </si>
  <si>
    <t>Tilia platyphyllos 'Fastigiata' Vk 3xp 200 16-18</t>
  </si>
  <si>
    <t>Zásyp sypaninou z jakékoliv horniny ručně s uložením výkopku ve vrstvách se zhutněním jam, šachet, rýh nebo kolem objektů v těchto vykopávkách</t>
  </si>
  <si>
    <t>2,4*(0,7-0,5)*8+(0,8-0,5)*10+(1-0,5)*6+(1,4-0,5)*11+(1,8-0,5)*1,8*2</t>
  </si>
  <si>
    <t>substrát A</t>
  </si>
  <si>
    <t>((1+1,3)*0,5*2,4+2,05*1,3*0,5)-2,4*0,5</t>
  </si>
  <si>
    <t>1,5*(2,05*0,5)+2,05*(2,15-0,5)</t>
  </si>
  <si>
    <t xml:space="preserve">celkem m2 -  tl.250 mm  </t>
  </si>
  <si>
    <t>substrát A  celkem</t>
  </si>
  <si>
    <r>
      <rPr>
        <b/>
        <i/>
        <sz val="9"/>
        <rFont val="Arial"/>
        <family val="2"/>
        <charset val="238"/>
      </rPr>
      <t>Substrát typ B</t>
    </r>
    <r>
      <rPr>
        <i/>
        <sz val="9"/>
        <rFont val="Arial"/>
        <family val="2"/>
        <charset val="238"/>
      </rPr>
      <t>, 68cm, včetně substrátu v buňkách</t>
    </r>
  </si>
  <si>
    <t xml:space="preserve">dodávka substrát organicko minerální -  typ A </t>
  </si>
  <si>
    <t>dodávka substrát minerální -  typ B</t>
  </si>
  <si>
    <t>Zhotovení závlahové mísy dřevin D do 0,5 m v rovině nebo na svahu do 1:5</t>
  </si>
  <si>
    <t>Ukotvení dřeviny dvěma kůly, délky přes 2 do 3 m</t>
  </si>
  <si>
    <t>Vyvazovací kůly ke stromům se špicí a fazetou dl.250cm tl.5 cm</t>
  </si>
  <si>
    <r>
      <t>prokořenitelné buňky ref.výrobek Treeparker - kompletní dodávka a montáž buněk dle předepsaného postupu výrobcem ,popis viz TZ -</t>
    </r>
    <r>
      <rPr>
        <b/>
        <sz val="10"/>
        <rFont val="Arial"/>
        <family val="2"/>
        <charset val="238"/>
      </rPr>
      <t xml:space="preserve">    pro 4 buňky</t>
    </r>
  </si>
  <si>
    <r>
      <t>prokořenitelné buňky ref.výrobek Treeparker - kompletní dodávka a montáž buněk dle předepsaného postupu výrobcem ,popis viz TZ -</t>
    </r>
    <r>
      <rPr>
        <b/>
        <sz val="10"/>
        <rFont val="Arial"/>
        <family val="2"/>
        <charset val="238"/>
      </rPr>
      <t xml:space="preserve">    pro 6 buněk</t>
    </r>
  </si>
  <si>
    <r>
      <t>prokořenitelné buňky ref.výrobek Treeparker - kompletní dodávka a montáž buněk dle předepsaného postupu výrobcem ,popis viz TZ -</t>
    </r>
    <r>
      <rPr>
        <b/>
        <sz val="10"/>
        <rFont val="Arial"/>
        <family val="2"/>
        <charset val="238"/>
      </rPr>
      <t xml:space="preserve">   pro 7 buněk</t>
    </r>
  </si>
  <si>
    <t>D - Trávníky</t>
  </si>
  <si>
    <t>Založení trávníku na půdě předem připravené plochy do 1000 m2 výsevem včetně utažení parkového v rovině nebo na svahu do 1:5,v ceně jsou i náklady na pokosení, naložení a odvoz odpadu do 20 km se složením.</t>
  </si>
  <si>
    <t>dodávka osivo směs travní parková 30 g./m2</t>
  </si>
  <si>
    <t>Plošná úprava terénu přes 500 m2 zemina tř 1 až 4 nerovnosti do 100 mm v rovinně a svahu do 1:5</t>
  </si>
  <si>
    <t>Doplnění zeminy nebo substrátu na travnatých plochách tl 50 mm rovina v rovinně a svahu do 1:5</t>
  </si>
  <si>
    <t>dodávka subtrát parkový trávník 5cm  106 m2</t>
  </si>
  <si>
    <t>dodávka  subtrát štěrkový trávník 5 cm, 102+140 m2</t>
  </si>
  <si>
    <t>Zalití rostlin vodou plocha přes 20 m2  ….. 20l/m2</t>
  </si>
  <si>
    <t>hnojení přidáním hnojiva typu Osmocote 12-14 do substrátu, 0,5kg/m3</t>
  </si>
  <si>
    <t xml:space="preserve">Rekapitulace </t>
  </si>
  <si>
    <t>Vegetační úpravy  celkem</t>
  </si>
  <si>
    <r>
      <t>Fontánka - výtokový prvek včetně časového tlačítkového ventilu</t>
    </r>
    <r>
      <rPr>
        <b/>
        <sz val="9"/>
        <rFont val="Arial"/>
        <family val="2"/>
        <charset val="238"/>
      </rPr>
      <t xml:space="preserve"> označ. 08</t>
    </r>
  </si>
  <si>
    <r>
      <t>Krycí plech drážky v žb stěně  pro vodovodního potrubí označ.</t>
    </r>
    <r>
      <rPr>
        <b/>
        <sz val="9"/>
        <rFont val="Arial"/>
        <family val="2"/>
        <charset val="238"/>
      </rPr>
      <t>05</t>
    </r>
  </si>
  <si>
    <t>783- Nátěry</t>
  </si>
  <si>
    <t>Obroušení omítek před provedením nátěru</t>
  </si>
  <si>
    <t>zástěna</t>
  </si>
  <si>
    <t>zástěna dle bednění + 0,35*1,35+3,35*0,15</t>
  </si>
  <si>
    <t>Okartáčování omítek před provedením nátěru</t>
  </si>
  <si>
    <t>Hydrofobizační nátěr omítek silikonový, transparentní, povrchů hladkých betonových povrchů nebo povrchů z desek na bázi dřeva (dřevovláknitých apod.)</t>
  </si>
  <si>
    <t>lavička 03</t>
  </si>
  <si>
    <t>(0,5*0,6*2+(0,5+0,6)*2,32*2)*3</t>
  </si>
  <si>
    <t>783 - Nátěry</t>
  </si>
  <si>
    <t>Hloubení rýh nezapažených š do 800 mm v hornině třídy těžitelnosti I, skupiny 3 objem přes 100 m3 strojně</t>
  </si>
  <si>
    <t>0,25*0,75*4*2*10</t>
  </si>
  <si>
    <r>
      <t>Zástěna pro kontejnery b - ocelová část   označ</t>
    </r>
    <r>
      <rPr>
        <b/>
        <sz val="9"/>
        <rFont val="Arial"/>
        <family val="2"/>
        <charset val="238"/>
      </rPr>
      <t>.15</t>
    </r>
  </si>
  <si>
    <r>
      <t>Zástěna pro kontejnery c- ocelová část   označ</t>
    </r>
    <r>
      <rPr>
        <b/>
        <sz val="9"/>
        <rFont val="Arial"/>
        <family val="2"/>
        <charset val="238"/>
      </rPr>
      <t>.17</t>
    </r>
  </si>
  <si>
    <t>Dešťová kanalizace</t>
  </si>
  <si>
    <t>Vodovodní rozvod</t>
  </si>
  <si>
    <t>Drenáže</t>
  </si>
  <si>
    <t>Zřízení opláštění žeber nebo trativodů geotextilií v rýze nebo zářezu sklonu do 1:2</t>
  </si>
  <si>
    <t>geotextilie netkaná separační, ochranná, filtrační, drenážní PP 300g/m2</t>
  </si>
  <si>
    <r>
      <t xml:space="preserve">Příplatek k vodorovnému přemístění výkopku/sypaniny z horniny třídy těžitelnosti I, skupiny 1 až 3 ZKD 1000 m přes 10000 m </t>
    </r>
    <r>
      <rPr>
        <b/>
        <i/>
        <sz val="9"/>
        <rFont val="Arial"/>
        <family val="2"/>
        <charset val="238"/>
      </rPr>
      <t xml:space="preserve"> 10x</t>
    </r>
  </si>
  <si>
    <r>
      <t>Podlahová vpust u fontánky označ.</t>
    </r>
    <r>
      <rPr>
        <b/>
        <sz val="9"/>
        <rFont val="Arial"/>
        <family val="2"/>
        <charset val="238"/>
      </rPr>
      <t>09</t>
    </r>
    <r>
      <rPr>
        <sz val="9"/>
        <rFont val="Arial"/>
        <family val="2"/>
        <charset val="238"/>
      </rPr>
      <t xml:space="preserve"> -atypická autorsky zpracovaná venkovní podlahová vpust DN 75 mm ….100 x 250 mm, hloubka 200 mm</t>
    </r>
  </si>
  <si>
    <t>Sejmutí ornice plochy přes 500 m2 tl vrstvy do 200 mm strojně</t>
  </si>
  <si>
    <t>drenáže</t>
  </si>
  <si>
    <t>480*0,32*0,3*0,3</t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</si>
  <si>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R6 </t>
    </r>
    <r>
      <rPr>
        <sz val="9"/>
        <color rgb="FF002060"/>
        <rFont val="Arial"/>
        <family val="2"/>
        <charset val="238"/>
      </rPr>
      <t xml:space="preserve"> = 242 m2 š.0,5 m+60m2=120 bm</t>
    </r>
  </si>
  <si>
    <t>URS 2021/I</t>
  </si>
  <si>
    <r>
      <t xml:space="preserve">Trativody z drenážních trubek pro liniové stavby a komunikace se zřízením štěrkového lože pod trubky a s jejich obsypem v otevřeném výkopu trubka korugovaná sendvičová PE-HD SN 8 perforace 220° - </t>
    </r>
    <r>
      <rPr>
        <i/>
        <sz val="9"/>
        <rFont val="Arial"/>
        <family val="2"/>
        <charset val="238"/>
      </rPr>
      <t>srovnatelně pro DN 125</t>
    </r>
  </si>
  <si>
    <r>
      <t xml:space="preserve">Dodávka dlažby </t>
    </r>
    <r>
      <rPr>
        <b/>
        <sz val="9"/>
        <rFont val="Arial"/>
        <family val="2"/>
        <charset val="238"/>
      </rPr>
      <t xml:space="preserve">tmavé </t>
    </r>
    <r>
      <rPr>
        <sz val="9"/>
        <rFont val="Arial"/>
        <family val="2"/>
        <charset val="238"/>
      </rPr>
      <t xml:space="preserve"> - DK0115 Odseky od žulových štípaných kostek netříděné  tl.150 mm 1 tuna = cca 6,0 m2</t>
    </r>
  </si>
  <si>
    <t>Odvoz suti a vybouraných hmot na skládku nebo meziskládku do 1 km se složením</t>
  </si>
  <si>
    <t>Příplatek k odvozu suti a vybouraných hmot na skládku ZKD 1 km přes 1 km - 14x</t>
  </si>
  <si>
    <t>00572410</t>
  </si>
  <si>
    <t>Přesun hmot pro sadovnické a krajinářské úpravy vodorovně do 5000 m</t>
  </si>
  <si>
    <t>Cenová soustava RTS 2021/I</t>
  </si>
  <si>
    <t>SO 001  Soupis prací</t>
  </si>
  <si>
    <t xml:space="preserve"> březen 2021</t>
  </si>
  <si>
    <t>Rozvod vody</t>
  </si>
  <si>
    <t>Cenová soustava RTS 2020/II</t>
  </si>
  <si>
    <t>z hloubky výkopů je odečtena skladba chodníků 0,5 m:</t>
  </si>
  <si>
    <t>z hloubky výkopů je odečtena sakladba chodníků 0,5 m:</t>
  </si>
  <si>
    <t>větev V1-4,V8:266,0*0,6*0,9</t>
  </si>
  <si>
    <t>výměna vodovodní přípojky:16,0*0,6*0,9</t>
  </si>
  <si>
    <t>132201119R00</t>
  </si>
  <si>
    <t xml:space="preserve">Příplatek za lepivost - hloubení rýh 60 cm v hor.3 </t>
  </si>
  <si>
    <t>133201102R00</t>
  </si>
  <si>
    <t>vypouštěcí šachty:1,5*1,5*1,05*2</t>
  </si>
  <si>
    <t>133201109R00</t>
  </si>
  <si>
    <t xml:space="preserve">Příplatek za lepivost - hloubení šachet v hor.3 </t>
  </si>
  <si>
    <t>151101101R00</t>
  </si>
  <si>
    <t xml:space="preserve">Pažení a rozepření stěn rýh - příložné - hl. do 2m </t>
  </si>
  <si>
    <t>1 stranné v souběhu s kanalizací:(4,0+18,0+7,0+8,0+27,0*2+24,0)*0,9</t>
  </si>
  <si>
    <t>2 straně mimo souběh s kanalizací:(282,0-115,0)*2*0,9+1,5*1,5*2*2</t>
  </si>
  <si>
    <t>151101111R00</t>
  </si>
  <si>
    <t xml:space="preserve">Odstranění pažení stěn rýh - příložné - hl. do 2 m </t>
  </si>
  <si>
    <t>161101101R00</t>
  </si>
  <si>
    <t xml:space="preserve">Svislé přemístění výkopku z hor.1-4 do 2,5 m </t>
  </si>
  <si>
    <t>30%:(152,28+4,73)*0,3</t>
  </si>
  <si>
    <t>162301102R00</t>
  </si>
  <si>
    <t xml:space="preserve">Vodorovné přemístění výkopku z hor.1-4 do 1000 m </t>
  </si>
  <si>
    <t>výkopy na meziskládku:152,28+4,73</t>
  </si>
  <si>
    <t>zpět do zásypů:88,8</t>
  </si>
  <si>
    <t>162701105R00</t>
  </si>
  <si>
    <t xml:space="preserve">Vodorovné přemístění výkopku z hor.1-4 do 10000 m </t>
  </si>
  <si>
    <t>zbývající výkopy na skládku:152,28+4,73-88,8</t>
  </si>
  <si>
    <t>162701109R00</t>
  </si>
  <si>
    <t>zbývající výkopy na skládku:10*68,21</t>
  </si>
  <si>
    <t>167101102R00</t>
  </si>
  <si>
    <t xml:space="preserve">Nakládání výkopku z hor.1-4 v množství nad 100 m3 </t>
  </si>
  <si>
    <t>zemina do zásypů z meziskládky (naložení+ přeložení na menší auto-multikáru):88,8*2</t>
  </si>
  <si>
    <t>zemina pro odvoz na skládku z meziskládky:68,21</t>
  </si>
  <si>
    <t>171201201R00</t>
  </si>
  <si>
    <t xml:space="preserve">Uložení sypaniny na skládku </t>
  </si>
  <si>
    <t>meziskládka:152,28+4,73</t>
  </si>
  <si>
    <t>skládka:68,21</t>
  </si>
  <si>
    <t>199 00-0002.R00 </t>
  </si>
  <si>
    <t>Poplatek za skládku horniny 1- 4</t>
  </si>
  <si>
    <t>68,21*1,67</t>
  </si>
  <si>
    <t>174101101R00</t>
  </si>
  <si>
    <t xml:space="preserve">Zásyp jam, rýh, šachet se zhutněním </t>
  </si>
  <si>
    <t>potrubí:266,0*0,6*(0,9-0,1-0,3)</t>
  </si>
  <si>
    <t>VŠ:(1,5*1,5-0,5*0,5)*1,05*2</t>
  </si>
  <si>
    <t>výměna vodovodní přípojky:16,0*0,6*(0,9-0,1-0,3)</t>
  </si>
  <si>
    <t>175101101RT2</t>
  </si>
  <si>
    <t>Obsyp potrubí bez prohození sypaniny s dodáním štěrkopísku frakce 0 - 22 mm</t>
  </si>
  <si>
    <t>vodovod:(266,0+16,0)*0,6*0,3</t>
  </si>
  <si>
    <t>181101102R00</t>
  </si>
  <si>
    <t xml:space="preserve">Úprava pláně v zářezech v hor. 1-4, se zhutněním </t>
  </si>
  <si>
    <t>(266,0+16,0)*0,6+1,5*1,5*2</t>
  </si>
  <si>
    <t>181201102R00</t>
  </si>
  <si>
    <t xml:space="preserve">Úprava pláně v násypech v hor. 1-4, se zhutněním </t>
  </si>
  <si>
    <t>45</t>
  </si>
  <si>
    <t>Podkladní a vedlejší konstrukce</t>
  </si>
  <si>
    <t>451572211R00</t>
  </si>
  <si>
    <t xml:space="preserve">Lože pod potrubí z kameniva těženého 4 - 8 mm </t>
  </si>
  <si>
    <t>VŠ:1,0*1,0*0,1*2</t>
  </si>
  <si>
    <t>výměna vodovodní přípojky:16,0*0,8</t>
  </si>
  <si>
    <t>8</t>
  </si>
  <si>
    <t>Trubní vedení</t>
  </si>
  <si>
    <t>871151121R00</t>
  </si>
  <si>
    <t xml:space="preserve">Montáž trubek polyetylenových ve výkopu d 25 mm </t>
  </si>
  <si>
    <t xml:space="preserve">Příplatek za položení signalizačního vodiče </t>
  </si>
  <si>
    <t>877152121R00</t>
  </si>
  <si>
    <t xml:space="preserve">Přirážka za 1 spoj elektrotvarovky d 25 mm </t>
  </si>
  <si>
    <t>877162121R00</t>
  </si>
  <si>
    <t xml:space="preserve">Přirážka za 1 spoj elektrotvarovky d 32 mm </t>
  </si>
  <si>
    <t>879151111</t>
  </si>
  <si>
    <t>879172199R00</t>
  </si>
  <si>
    <t xml:space="preserve">Příplatek za montáž vodovodních přípojek DN 32-80 </t>
  </si>
  <si>
    <t>891153111R00</t>
  </si>
  <si>
    <t xml:space="preserve">Montáž armatur  přípojky DN 20 </t>
  </si>
  <si>
    <t>892233111R00</t>
  </si>
  <si>
    <t xml:space="preserve">Desinfekce vodovodního potrubí DN 70 </t>
  </si>
  <si>
    <t>892241111R00</t>
  </si>
  <si>
    <t xml:space="preserve">Tlaková zkouška vodovodního potrubí DN 80 </t>
  </si>
  <si>
    <t>892372111R00</t>
  </si>
  <si>
    <t xml:space="preserve">Zabezpečení konců vodovod. potrubí DN 300 </t>
  </si>
  <si>
    <t>úsek</t>
  </si>
  <si>
    <t>899721112</t>
  </si>
  <si>
    <t xml:space="preserve">Fólie výstražná z PVC š. 30 cm , bílá </t>
  </si>
  <si>
    <t>899731114</t>
  </si>
  <si>
    <t xml:space="preserve">Vodič signalizační CYY 6 mm2 </t>
  </si>
  <si>
    <t>14143001</t>
  </si>
  <si>
    <t>Trubka ocelová pozinkovaná závitová G 1/2"</t>
  </si>
  <si>
    <t>14143002</t>
  </si>
  <si>
    <t>Trubka ocelová pozinkovaná závitová G 3/4"</t>
  </si>
  <si>
    <t>28612000</t>
  </si>
  <si>
    <t>HD-PE tlaková voda PE 100, SDR 11 d 25x2,3 mm černá s modrými pruhy</t>
  </si>
  <si>
    <t>28690001</t>
  </si>
  <si>
    <t>Vypouštěcí šachta 500x500 mm, hl. 1,45 m vč. poklopu</t>
  </si>
  <si>
    <t>55110001</t>
  </si>
  <si>
    <t>55110002</t>
  </si>
  <si>
    <t>Vypouštěcí kulový uzávěr DN 15 niklovaná mosaz</t>
  </si>
  <si>
    <t>55110003</t>
  </si>
  <si>
    <t>Kulový uzávěr nezámrzný DN 15, PN 20 niklovaná mosaz s přípojkou na hadici</t>
  </si>
  <si>
    <t>55110004</t>
  </si>
  <si>
    <t>Mrazuvzdorný ventil DN 20 s automat.vypouštěním výkon 40l/min,povrch z matného chromu</t>
  </si>
  <si>
    <t>odolný proti povětrnostním vlivům:2</t>
  </si>
  <si>
    <t>96</t>
  </si>
  <si>
    <t>971042361R00</t>
  </si>
  <si>
    <t xml:space="preserve">Vybourání otvorů zdi betonové pl. 0,09 m2, tl.60cm </t>
  </si>
  <si>
    <t>99</t>
  </si>
  <si>
    <t>Staveništní přesun hmot</t>
  </si>
  <si>
    <t>998276201R00</t>
  </si>
  <si>
    <t xml:space="preserve">Přesun hmot, trub.vedení plast. obsypaná kamenivem </t>
  </si>
  <si>
    <t xml:space="preserve">    REKAPITULACE  STAVEBNÍCH  DÍLŮ</t>
  </si>
  <si>
    <t>Stavební díl</t>
  </si>
  <si>
    <t>HSV</t>
  </si>
  <si>
    <t>CELKEM  OBJEKT</t>
  </si>
  <si>
    <t xml:space="preserve">Hloubení nezapaž. jam hor.4 do 10000 m3, STROJNĚ </t>
  </si>
  <si>
    <t>RT1- polovina výkopů v chodníku (opočet z hloubek výkopů skladby komunikace 0,5 m), polovina v nezperněném terénu:(4,6*1,7+6,0*2,4)*0,5*(1,9+2,1)*0,5+(4,6*1,7+6,0*2,4)*0,5*(1,4+1,6)*0,5</t>
  </si>
  <si>
    <t>131301209R00</t>
  </si>
  <si>
    <t>132301213R00</t>
  </si>
  <si>
    <t xml:space="preserve">Hloubení rýh šířky do 200 cm v hor.4 do 10000 m3 </t>
  </si>
  <si>
    <t>z hloubky výkopů je odečtena skladba komunikací 0,5 m:</t>
  </si>
  <si>
    <t>rýhy k ÚV vč. výkopů pro ÚV:</t>
  </si>
  <si>
    <t>větev A:</t>
  </si>
  <si>
    <t>Ša-ÚV 21:5,6*0,8*(1,25+1,43)*0,5+14,8*0,8*(1,43+1,05)*0,5+27,4*0,8*1,05</t>
  </si>
  <si>
    <t>24,9*0,8*(1,05+0,88)*0,5+35,0*0,8*(0,88+1,37)*0,5</t>
  </si>
  <si>
    <t>34,6*0,8*(1,37+2,21)*0,5+36,0*0,8*(2,21+1,6)*0,5</t>
  </si>
  <si>
    <t>25,7*0,8*(1,6+0,85)*0,5+2,8*(0,85+0,8)*0,5</t>
  </si>
  <si>
    <t>větev A1:</t>
  </si>
  <si>
    <t>Š4-ÚV 5 :11,9*0,8*(0,85+0,8)*0,5</t>
  </si>
  <si>
    <t>větev A2:</t>
  </si>
  <si>
    <t>Š5-ÚV 9:28,3*0,8*(1,34+0,8)*0,5</t>
  </si>
  <si>
    <t>větev A3:</t>
  </si>
  <si>
    <t>Š7-D2:25,6*0,8*(1,6+1,1)*0,5</t>
  </si>
  <si>
    <t>přípojky k ÚV (A):</t>
  </si>
  <si>
    <t>ÚV1:11,5*0,8*(1,24+0,3)*0,5</t>
  </si>
  <si>
    <t>ÚV2,3:1,5*0,8*(1,05+0,3)*0,5*2</t>
  </si>
  <si>
    <t>ÚV4:1,5*0,8*(1,0+0,3)*0,5</t>
  </si>
  <si>
    <t>ÚV6,7:1,5*0,8*(1,13+0,3)*0,5*2</t>
  </si>
  <si>
    <t>ÚV8:1,5*0,8*(1,07+0,3)*0,5</t>
  </si>
  <si>
    <t>ÚV10:1,5*0,8*(1,37+0,3)*0,5</t>
  </si>
  <si>
    <t>ÚV11:1,5*0,8*(1,89+0,3)*0,5</t>
  </si>
  <si>
    <t>ÚV12-16:0,8*0,8*(2,21+1,91+1,6*2+1,35)</t>
  </si>
  <si>
    <t>ÚV17,18:2,5*0,8*(1,6+0,3)*0,5*2</t>
  </si>
  <si>
    <t>ÚV19,20:2,5*0,8*(1,23+0,3)*0,5*2</t>
  </si>
  <si>
    <t>ÚV 22:1,6*0,8*(0,85+0,8)*0,5</t>
  </si>
  <si>
    <t>k D4:3,0*0,8*1,9</t>
  </si>
  <si>
    <t>větev B:</t>
  </si>
  <si>
    <t>Š1-12:36,5*0,8*(1,4+1,1)*0,5+45,1*0,8*(1,1+1,13)*0,5</t>
  </si>
  <si>
    <t>32,5*0,8*(1,13+1,33)*0,5+35,2*0,8*(1,33+1,1)*0,5</t>
  </si>
  <si>
    <t>větevB1:</t>
  </si>
  <si>
    <t>Š11-ÚV31:27,3*0,8*(1,3+0,8)*0,5</t>
  </si>
  <si>
    <t>k D1:2,5*0,8*1,1</t>
  </si>
  <si>
    <t>přípojky k ÚV (B):</t>
  </si>
  <si>
    <t>ÚV23,24:1,5*0,8*(1,3+0,3)*0,5*2</t>
  </si>
  <si>
    <t>ÚV25,26,27:1,5*0,8*(1,1+0,3)*0,5*3</t>
  </si>
  <si>
    <t>ÚV28,29:1,5*0,8*(1,25+0,3)*0,5*2</t>
  </si>
  <si>
    <t>Š1-ÚV51:22,2*0,8*(1,43+1,17)*0,5+27,8*0,8*(1,17+1,15)*0,5</t>
  </si>
  <si>
    <t>7,5*0,8*(1,15+1,1)*0,5+24,8*0,8*(1,1+1,37)*0,5</t>
  </si>
  <si>
    <t>5,3*0,8*(1,37+0,8)*0,5</t>
  </si>
  <si>
    <t>větev C1:</t>
  </si>
  <si>
    <t>Š13-ÚV37:25,8*0,8*(1,27+0,8)*0,5</t>
  </si>
  <si>
    <t>větev C2:</t>
  </si>
  <si>
    <t>ÚV39:15,8*0,8*(0,91+0,8)*0,5</t>
  </si>
  <si>
    <t>Š14-ÚV41:18,5*0,8*(1,17+0,8)*0,8</t>
  </si>
  <si>
    <t>větev C3:</t>
  </si>
  <si>
    <t>Š16-ÚV45:(8,1+17,3)*0,8*(1,1+0,8)*0,5</t>
  </si>
  <si>
    <t>přípojky k ÚV (C):</t>
  </si>
  <si>
    <t>ÚV35,36:2,0*0,8*(1,37+0,3)*0,5</t>
  </si>
  <si>
    <t>ÚV38:2,0*0,8*(0,91+0,8)*0,5</t>
  </si>
  <si>
    <t>ÚV40:1,5*0,8*(1,17+0,3)*0,5</t>
  </si>
  <si>
    <t>ÚV42:2,5*0,8*(1,16+0,3)*0,5</t>
  </si>
  <si>
    <t>ÚV43:2,0*0,8*(1,15+0,8)*0,5</t>
  </si>
  <si>
    <t>ÚV44:1,5*0,8*(1,05+0,3)*0,5</t>
  </si>
  <si>
    <t>ÚV46,47,48,49:2,0*0,8*(1,23+0,3)*0,5*4</t>
  </si>
  <si>
    <t>ÚV50:2,0*0,8*(1,37+0,3)*0,5</t>
  </si>
  <si>
    <t>Mezisoučet</t>
  </si>
  <si>
    <t>Začátek provozního součtu</t>
  </si>
  <si>
    <t>šachty Š1-17:1,43+1,05*2+0,88+1,37+2,21+1,6+0,85+1,1+1,13+1,33+1,1+1,3+1,17</t>
  </si>
  <si>
    <t>Konec provozního součtu</t>
  </si>
  <si>
    <t>hloubky x šířky:21,19*1,5*1,5</t>
  </si>
  <si>
    <t>Ša:2,0*2,0*2,15</t>
  </si>
  <si>
    <t>Šb:2,0*2,0*2,15</t>
  </si>
  <si>
    <t>rýhy od RT1 k Šb (mimo zpevněné plochy):7,5*0,8*1,95</t>
  </si>
  <si>
    <t>132301219R00</t>
  </si>
  <si>
    <t xml:space="preserve">Příplatek za lepivost - hloubení rýh 200cm v hor.4 </t>
  </si>
  <si>
    <t>rýhy 2 strana:(668,61+19,86)/0,8*2-18,0*2,21*2-0,8*2,21*2+3,0*1,9*2</t>
  </si>
  <si>
    <t>odpočet v místě souběhu svodou (upřesnit):-1*(18+7+15+8+30+27)*1,3</t>
  </si>
  <si>
    <t>Ša,b, :(2,0*4-0,8*2)*(2,15+2,21)</t>
  </si>
  <si>
    <t>Obsyp potrubí bez prohození sypaniny s dodáním štěrkopísku</t>
  </si>
  <si>
    <t>175101201R00</t>
  </si>
  <si>
    <t xml:space="preserve">Obsyp objektu bez prohození sypaniny </t>
  </si>
  <si>
    <t>kamenivo fr.8-16:</t>
  </si>
  <si>
    <t>583415065</t>
  </si>
  <si>
    <t>Kamenivo drcené frakce  8/16</t>
  </si>
  <si>
    <t>T</t>
  </si>
  <si>
    <t>potrubí kanalizace:704,20*0,80*0,10</t>
  </si>
  <si>
    <t>Š1-17:0,8*0,8*17*0,10</t>
  </si>
  <si>
    <t>451573111R00</t>
  </si>
  <si>
    <t xml:space="preserve">Lože pod potrubí ze štěrkopísku </t>
  </si>
  <si>
    <t>RT1:4,6*3,4*0,20</t>
  </si>
  <si>
    <t>Ša,b:2,0*2,0*0,10*2</t>
  </si>
  <si>
    <t>452311131R00</t>
  </si>
  <si>
    <t xml:space="preserve">Desky podkladní pod potrubí z betonu C 12/15 </t>
  </si>
  <si>
    <t>pod RT1:4,8*3,6*0,10</t>
  </si>
  <si>
    <t>452351101R00</t>
  </si>
  <si>
    <t>Bednění desek nebo sedlových loží vč. odbednění</t>
  </si>
  <si>
    <t>pod RT1:(4,8+3,6)*2*0,10</t>
  </si>
  <si>
    <t>pojistná drenáž:78,0</t>
  </si>
  <si>
    <t>871251111R00</t>
  </si>
  <si>
    <t xml:space="preserve">Montáž trubek z tvrdého PVC ve výkopu d 110 mm </t>
  </si>
  <si>
    <t>větev A:2,0</t>
  </si>
  <si>
    <t>větev A1:11,1</t>
  </si>
  <si>
    <t>přípojky k ÚV :</t>
  </si>
  <si>
    <t>větev A-A3:1,5*9+2,5*4</t>
  </si>
  <si>
    <t>svislé k ÚV12-16:2,0*2+1,6*2+1,5</t>
  </si>
  <si>
    <t>větev B,B1:1,5*10+2,5*3</t>
  </si>
  <si>
    <t>871311111R00</t>
  </si>
  <si>
    <t xml:space="preserve">Montáž trubek z tvrdého PVC ve výkopu d 160 mm </t>
  </si>
  <si>
    <t>DN 125:</t>
  </si>
  <si>
    <t>větev C4:8,4</t>
  </si>
  <si>
    <t>svislé k D1,2,3:1,5*3</t>
  </si>
  <si>
    <t>k D4:3,0</t>
  </si>
  <si>
    <t>DN 160:</t>
  </si>
  <si>
    <t>větev A:25,7</t>
  </si>
  <si>
    <t>větev A2:10,5</t>
  </si>
  <si>
    <t>větev A3:25,6</t>
  </si>
  <si>
    <t>větev B:35,2</t>
  </si>
  <si>
    <t>větev B1:10,0</t>
  </si>
  <si>
    <t>větev C:29,3</t>
  </si>
  <si>
    <t>větev C1:7,3</t>
  </si>
  <si>
    <t>větev C4:8,1</t>
  </si>
  <si>
    <t>871351111R00</t>
  </si>
  <si>
    <t xml:space="preserve">Montáž trubek z tvrdého PVC ve výkopu d 225 mm </t>
  </si>
  <si>
    <t>DN 200:</t>
  </si>
  <si>
    <t>větev A:172,7</t>
  </si>
  <si>
    <t>větev B:114,1</t>
  </si>
  <si>
    <t>větev C:57,5</t>
  </si>
  <si>
    <t>871371111R00</t>
  </si>
  <si>
    <t xml:space="preserve">Montáž trubek z tvrdého PVC ve výkopu d 315 mm </t>
  </si>
  <si>
    <t>DN 250:</t>
  </si>
  <si>
    <t>větev A:5,6</t>
  </si>
  <si>
    <t>od RT1 k Šb:7,5</t>
  </si>
  <si>
    <t>877313123R00</t>
  </si>
  <si>
    <t xml:space="preserve">Montáž tvarovek jednoos. plast. gum.kroužek DN 150 </t>
  </si>
  <si>
    <t>DN 110:</t>
  </si>
  <si>
    <t>koleno:</t>
  </si>
  <si>
    <t>k ÚV 1-51:2*51</t>
  </si>
  <si>
    <t>k dverním vtokům:4</t>
  </si>
  <si>
    <t>k D1:1</t>
  </si>
  <si>
    <t>k D2,3,4:2*3</t>
  </si>
  <si>
    <t>koleno (87):</t>
  </si>
  <si>
    <t>větev A1, A2:1+1</t>
  </si>
  <si>
    <t>B.B1:1</t>
  </si>
  <si>
    <t>C1:1</t>
  </si>
  <si>
    <t>koleno (45):</t>
  </si>
  <si>
    <t>C2:1</t>
  </si>
  <si>
    <t>redukce 125/110:</t>
  </si>
  <si>
    <t>k UV5,9,31,37,39,41,45:7</t>
  </si>
  <si>
    <t>větev A3:2</t>
  </si>
  <si>
    <t>redukce 160/125:</t>
  </si>
  <si>
    <t>větev A2:1</t>
  </si>
  <si>
    <t>B1:1</t>
  </si>
  <si>
    <t>redukce 160/110:</t>
  </si>
  <si>
    <t>k D2,3:2</t>
  </si>
  <si>
    <t>k UV51:1</t>
  </si>
  <si>
    <t>877353121R00</t>
  </si>
  <si>
    <t xml:space="preserve">Montáž tvarovek odboč. plast. gum. kroužek DN 200 </t>
  </si>
  <si>
    <t>odbočky:</t>
  </si>
  <si>
    <t>110/110:</t>
  </si>
  <si>
    <t>od RT1 k DV:1</t>
  </si>
  <si>
    <t>125/110:</t>
  </si>
  <si>
    <t>k UV38,40,44:3</t>
  </si>
  <si>
    <t>k D4 :1</t>
  </si>
  <si>
    <t>160/110:</t>
  </si>
  <si>
    <t>kÚV 8,15-20,30,32-34,46-50:16</t>
  </si>
  <si>
    <t>větev B k dvor.vtoku:2</t>
  </si>
  <si>
    <t>200/110:</t>
  </si>
  <si>
    <t>k ÚV 1-4,6,7,10-14,23-29,35,36,42,43:22</t>
  </si>
  <si>
    <t>877353123R00</t>
  </si>
  <si>
    <t xml:space="preserve">Montáž tvarovek jednoos. plast. gum.kroužek DN 200 </t>
  </si>
  <si>
    <t>větev B:1</t>
  </si>
  <si>
    <t>877363123R00</t>
  </si>
  <si>
    <t xml:space="preserve">Montáž tvarovek jednoos. plast. gum.kroužek DN 250 </t>
  </si>
  <si>
    <t>větev A:1</t>
  </si>
  <si>
    <t>od RT1 k Šb:1</t>
  </si>
  <si>
    <t>větev B1:1</t>
  </si>
  <si>
    <t>892575111R00</t>
  </si>
  <si>
    <t xml:space="preserve">Zabezpečení konců a zkouška vzduch. kan. DN do 200 </t>
  </si>
  <si>
    <t>892585111R00</t>
  </si>
  <si>
    <t xml:space="preserve">Zabezpečení konců a zkouška vzduch. kan. DN do 300 </t>
  </si>
  <si>
    <t>892855116R00</t>
  </si>
  <si>
    <t xml:space="preserve">Kontrola kanalizace TV kamerou nad 500 m </t>
  </si>
  <si>
    <t>705,7+0,425*17+1,0*2</t>
  </si>
  <si>
    <t>895942001</t>
  </si>
  <si>
    <t xml:space="preserve">Osazení vpusti uliční  a dvorní </t>
  </si>
  <si>
    <t>ÚV 1-51:51</t>
  </si>
  <si>
    <t>DV:4</t>
  </si>
  <si>
    <t>895971210</t>
  </si>
  <si>
    <t>899711122R00</t>
  </si>
  <si>
    <t xml:space="preserve">Fólie výstražná z PVC </t>
  </si>
  <si>
    <t>Š8:1</t>
  </si>
  <si>
    <t>Š12:1</t>
  </si>
  <si>
    <t>894431313RBA</t>
  </si>
  <si>
    <t>Šachta, D 425 mm, dl.šach.roury 1,50 m, sběrná dno KG D 160 mm, poklop litina 12,5 t</t>
  </si>
  <si>
    <t>Š16:1</t>
  </si>
  <si>
    <t>894431313RCA</t>
  </si>
  <si>
    <t>Šachta, D 425 mm, dl.šach.roury 1,50 m, sběrná dno KG D 200 mm, poklop litina 12,5 t</t>
  </si>
  <si>
    <t>Š2,3,4,9:4</t>
  </si>
  <si>
    <t>Š7,11,17:3</t>
  </si>
  <si>
    <t>894431323RCA</t>
  </si>
  <si>
    <t>Šachta, D 425 mm, dl.šach.roury 2,0 m, sběrná dno KG D 200 mm, poklop litina 12,5 t</t>
  </si>
  <si>
    <t>Š1,5,10,13,14,15:6</t>
  </si>
  <si>
    <t>Š6:1,</t>
  </si>
  <si>
    <t>28611001</t>
  </si>
  <si>
    <t>Trubka kanalizační SN 10 PVC  DN 110</t>
  </si>
  <si>
    <t>96,8*1,015</t>
  </si>
  <si>
    <t>28611002</t>
  </si>
  <si>
    <t>Trubka kanalizační SN 4 PVC  DN 125</t>
  </si>
  <si>
    <t>251,5*1,015</t>
  </si>
  <si>
    <t>28611003</t>
  </si>
  <si>
    <t>Trubka kanalizační SN 10 PVC  DN 160</t>
  </si>
  <si>
    <t>151,7*1,015</t>
  </si>
  <si>
    <t>28611005</t>
  </si>
  <si>
    <t>Trubka kanalizační SN 10 PVC  DN 200</t>
  </si>
  <si>
    <t>344,3*1,015</t>
  </si>
  <si>
    <t>28611006</t>
  </si>
  <si>
    <t>Trubka kanalizační SN 10 PVC  DN 250</t>
  </si>
  <si>
    <t>13,1*1,015</t>
  </si>
  <si>
    <t>28611223.A</t>
  </si>
  <si>
    <t>78,0*1,015</t>
  </si>
  <si>
    <t>28652001</t>
  </si>
  <si>
    <t>Koleno kanalizační  110/ 45° PVC</t>
  </si>
  <si>
    <t>28652003</t>
  </si>
  <si>
    <t>Koleno kanalizační  125/ 87° PVC</t>
  </si>
  <si>
    <t>28652006</t>
  </si>
  <si>
    <t>Koleno kanalizační  250/ 87° PVC</t>
  </si>
  <si>
    <t>28652008</t>
  </si>
  <si>
    <t>Redukce kanalizační  125/ 110 PVC</t>
  </si>
  <si>
    <t>28652009</t>
  </si>
  <si>
    <t>28652010</t>
  </si>
  <si>
    <t>Redukce kanalizační  160/ 125 PVC</t>
  </si>
  <si>
    <t>28652012</t>
  </si>
  <si>
    <t>Odbočka kanalizační  125/ 110/45° PVC</t>
  </si>
  <si>
    <t>28652013</t>
  </si>
  <si>
    <t>Odbočka kanalizační  160/ 110/45° PVC</t>
  </si>
  <si>
    <t>28652014</t>
  </si>
  <si>
    <t>Odbočka kanalizační  200/ 110/45° PVC</t>
  </si>
  <si>
    <t>28680001</t>
  </si>
  <si>
    <t>Dvorní vpusť s ocelovým mřížovým pororoštem 20/30 B125 kN, stavební výška 702 mm</t>
  </si>
  <si>
    <t>dvorní vpust 300x300 + nástavec v. 25 cm:</t>
  </si>
  <si>
    <t>ÚV 1-4,6-8,10-20,23-30,32-36,40,42,44-51:51-13</t>
  </si>
  <si>
    <t>28680002</t>
  </si>
  <si>
    <t>Dvorní vpusť s ocelovým mřížovým pororoštem 20/30 B125 kN, stavební výška 1202 mm</t>
  </si>
  <si>
    <t>dvorní vpust 300x300 + 3x nástavec v. 25 cm:</t>
  </si>
  <si>
    <t>ÚV 5,9,21,22,31,50,51,45,53,39,37,37,41:13</t>
  </si>
  <si>
    <t>28680003</t>
  </si>
  <si>
    <t>28680004</t>
  </si>
  <si>
    <t xml:space="preserve">box konektor – mašlička </t>
  </si>
  <si>
    <t>spojovací clip</t>
  </si>
  <si>
    <t>koncová stěna pro kontrolní box, předformované otvory</t>
  </si>
  <si>
    <t>geotextilie  200/m2, šíře 2 m – role 100 m2, PP</t>
  </si>
  <si>
    <t>hydroizolační jednovrstvá syntetická fólie PVC-P tl. 1,5 mm, šířka pásu 2100 mm, role 42 m2, barva černá</t>
  </si>
  <si>
    <t>28697903</t>
  </si>
  <si>
    <t>poklop celolitinový s odvětráním</t>
  </si>
  <si>
    <t>filtr DN 250</t>
  </si>
  <si>
    <t>filtrační návrlek DN 250</t>
  </si>
  <si>
    <t>nátrubek DN 110</t>
  </si>
  <si>
    <t>nátrubek DN 250</t>
  </si>
  <si>
    <t>bezpečnostní přepad DN 250 s regulací průtoku</t>
  </si>
  <si>
    <t>upřesnit- průchod základem pro potrubí k Šb:1</t>
  </si>
  <si>
    <t>998276101R00</t>
  </si>
  <si>
    <t xml:space="preserve">Přesun hmot, trubní vedení plastová, otevř. výkop </t>
  </si>
  <si>
    <t xml:space="preserve">        REKAPITULACE  STAVEBNÍCH  DÍLŮ</t>
  </si>
  <si>
    <t xml:space="preserve">     CELKEM  OBJEKT</t>
  </si>
  <si>
    <t>SO 002  Soupis prací</t>
  </si>
  <si>
    <t>132201111R00</t>
  </si>
  <si>
    <t xml:space="preserve">Hloubení rýh š.do 60 cm v hor.3 do 100 m3, STROJNĚ </t>
  </si>
  <si>
    <t>větev V5:130,0*0,6*0,9</t>
  </si>
  <si>
    <t>1 stranné v souběhu s kanalizací:(130,0-36,0)*0,9</t>
  </si>
  <si>
    <t>2 straně mimo souběh s kanalizací:36,0*0,9*2+1,5*3*1,05*2</t>
  </si>
  <si>
    <t>30%:(70,2+4,73)*0,3</t>
  </si>
  <si>
    <t>zpět do zásypů:43,2</t>
  </si>
  <si>
    <t>zbývající výkopy na skládku:70,2+4,73-43,2</t>
  </si>
  <si>
    <t>skládka:31,73</t>
  </si>
  <si>
    <t>potrubí:130,0*0,6*(0,9-0,1-0,3)</t>
  </si>
  <si>
    <t>vodovod:130,0*0,6*0,3</t>
  </si>
  <si>
    <t>130,0*0,6+1,5*1,5*2</t>
  </si>
  <si>
    <t>potrubí:130,0*0,6*0,1</t>
  </si>
  <si>
    <t>871161121R00</t>
  </si>
  <si>
    <t xml:space="preserve">Montáž trubek polyetylenových ve výkopu d 32 mm </t>
  </si>
  <si>
    <t>871812112</t>
  </si>
  <si>
    <t xml:space="preserve">Montáž napojení vodovodní přípojky DN 20 </t>
  </si>
  <si>
    <t>879171111</t>
  </si>
  <si>
    <t xml:space="preserve">Montáž napojení vodovodní přípojky DN 32 </t>
  </si>
  <si>
    <t>28612001</t>
  </si>
  <si>
    <t>HD-PE tlaková voda PE 100, SDR 11 d 32x3,0 mm černá s modrými pruhy</t>
  </si>
  <si>
    <t>28613001</t>
  </si>
  <si>
    <t>Tvarovka plastová voda elektroredukce SDR 11 d 32/25  PE 100</t>
  </si>
  <si>
    <t>28613002</t>
  </si>
  <si>
    <t>Tvarovka plastová voda elektroredukce SDR 11 d 40/32  PE 100</t>
  </si>
  <si>
    <t>28613003</t>
  </si>
  <si>
    <t>Tvarovka plastová voda elektrokoleno 90° SDR 11 d 25  PE 100</t>
  </si>
  <si>
    <t>28613004</t>
  </si>
  <si>
    <t>Tvarovka plastová voda elektrokoleno 90° SDR 11 d 32  PE 100</t>
  </si>
  <si>
    <t>28613005</t>
  </si>
  <si>
    <t>Tvarovka plastová voda elektro T kus 90° redukovaný SDR 11 d 30/25  PE 100</t>
  </si>
  <si>
    <t>28613006</t>
  </si>
  <si>
    <t>Tvarovka plastová voda elektrospojka SDR 11 d 32  PE 100</t>
  </si>
  <si>
    <t>Kulový uzávěr s odvodněním DN 20, závit vnitřní- vnitřní, niklovaná mosaz</t>
  </si>
  <si>
    <t xml:space="preserve">Hloubení šachet v hor.3 nad 100 m3 </t>
  </si>
  <si>
    <r>
      <t xml:space="preserve">Příplatek k vod. přemístění hor.1-4 za další 1 km </t>
    </r>
    <r>
      <rPr>
        <b/>
        <sz val="8"/>
        <rFont val="Arial"/>
        <family val="2"/>
        <charset val="238"/>
      </rPr>
      <t>5x</t>
    </r>
  </si>
  <si>
    <t>zbývající výkopy na skládku: 5*31,73</t>
  </si>
  <si>
    <t>RT 2 v chodníku- odpočet z hloubek výkopů skladby komunikace 0,5 m):(4,0*3,4+5,4*4,8)*0,5*0,98</t>
  </si>
  <si>
    <t xml:space="preserve">Příplatek za lepivost - hloubení nezap.jam v hor4 </t>
  </si>
  <si>
    <t>větev D (část v terénu, část v chodníku):</t>
  </si>
  <si>
    <t>Šc-Š18:7,4*0,8*(0,71+0,85)*0,5+42,4*0,8*(1,19+1,5)*0,5</t>
  </si>
  <si>
    <t>35,4*0,8*(1,53+1,6)*0,5+1,0*0,8*1,6+6,0*0,8*(2,0+1,6)*0,5</t>
  </si>
  <si>
    <t>37,0*0,8*(1,1+0,8)*0,5</t>
  </si>
  <si>
    <t>větev E:</t>
  </si>
  <si>
    <t>Š21-23:28,7*0,8*(1,1+0,88)*0,5+50,7*0,8*(0,88+0,84)*0,5</t>
  </si>
  <si>
    <t>větev E1:</t>
  </si>
  <si>
    <t>k UV58:10,0*0,8*(0,74+0,55)*0,5</t>
  </si>
  <si>
    <t>větev F:</t>
  </si>
  <si>
    <t>Š24-27:27,7*0,8*1,31+28,9*0,8*(1,31+1,0)*0,5</t>
  </si>
  <si>
    <t>29,0*0,8*(1,0+0,8)*0,5</t>
  </si>
  <si>
    <t>větev F1:</t>
  </si>
  <si>
    <t>Š26-UV63:7,5*0,8*(1,25+0,8)*0,5</t>
  </si>
  <si>
    <t>větev F2:</t>
  </si>
  <si>
    <t>Š25-29:43,1*0,8*(1,31+1,3)*0,5+29,8*0,8*(1,3+1,04)*0,5</t>
  </si>
  <si>
    <t>větev F3:</t>
  </si>
  <si>
    <t>Š28-UV73:19,0*0,8*(1,3+0,55)*0,5</t>
  </si>
  <si>
    <t>vězev F4:</t>
  </si>
  <si>
    <t>Š26-UV67:26,5*0,8*(0,97+0,8)*0,5</t>
  </si>
  <si>
    <t>přípojky k ÚV vč. pro ÚV:</t>
  </si>
  <si>
    <t>větev D:</t>
  </si>
  <si>
    <t>ÚV52,53:1,5*0,8*(0,9+0,3)*0,5+1,5*0,8*0,8</t>
  </si>
  <si>
    <t>k D,Da:(2,5+1,5)*0,8*1,1</t>
  </si>
  <si>
    <t>ÚV54,55:1,5*0,8*(1,1+0,3)*0,5*2</t>
  </si>
  <si>
    <t>ÚV 56,57:1,5*0,8*(0,8+0,3)*0,5*2</t>
  </si>
  <si>
    <t>ÚV 59,60:1,5*0,8*(0,8+0,3)*0,5+1,5*0,8*0,8</t>
  </si>
  <si>
    <t>ÚV61,62:1,5*0,8*(1,3+0,3)*0,5*2</t>
  </si>
  <si>
    <t>ÚV64,65:1,5*0,8*(1,15+0,3)*0,5*2</t>
  </si>
  <si>
    <t>UV68:1,5*0,8*(0,9+0,3)*0,5</t>
  </si>
  <si>
    <t>UV69:1,5*0,8*0,8</t>
  </si>
  <si>
    <t>ÚV70,71:1,5*0,8*(1,3+0,3)*0,5*2</t>
  </si>
  <si>
    <t>UV74,75:1,5*0,8*(1,15+0,3)*0,5*2</t>
  </si>
  <si>
    <t>k D,Da:2,5*2*0,8*1,1</t>
  </si>
  <si>
    <t>UV 72:1,5*0,8*(1,3+0,3)*0,5</t>
  </si>
  <si>
    <t>šachty Š18-29:1,19+1,53+1,6*2+1,38+1,34+1,81*2+1,5+1,3+1,8+1,54</t>
  </si>
  <si>
    <t>součet hloubekxšířky:1,5*1,5*18,4</t>
  </si>
  <si>
    <t>Šc,Šd:2,0*2,0*1,51+2,0*2,0*1,1</t>
  </si>
  <si>
    <t>rýhy od RT 2 k Šc:4,5*0,8*1,98+1,0*0,8*0,8</t>
  </si>
  <si>
    <t>rýhy 2 strana:408,03/0,8*2</t>
  </si>
  <si>
    <t>šachty Š18-29:(1,5*4-0,8*2)*12</t>
  </si>
  <si>
    <t>odpočet v místě souběhu svodou (upřesnit):-35,0*1,1-47,0*1,3</t>
  </si>
  <si>
    <t>Šc,d:(2,0*4-0,8*2)*(1,51+1,1)</t>
  </si>
  <si>
    <t>30% z výkopů:(19,36+467,64)*0,3</t>
  </si>
  <si>
    <t>zpět do zásypů:278,42</t>
  </si>
  <si>
    <t>zbývající výkopy na skládku:19,36+497,64-278,42</t>
  </si>
  <si>
    <t>skládka:238,58</t>
  </si>
  <si>
    <t>výkopy rýh:408,03+7,77</t>
  </si>
  <si>
    <t>odpočet obsypy potrubí + lože:-138,94-38,65</t>
  </si>
  <si>
    <t>odpočet ÚV a DV:-0,3*0,3*(0,2*17+0,7*7)-0,3*0,3*0,7*4</t>
  </si>
  <si>
    <t>kolem Š18-29:(1,5*1,5-3,14*0,25*0,25)*18,4</t>
  </si>
  <si>
    <t>nad RT 2 (v chodníku):5,0*4,4*0,10</t>
  </si>
  <si>
    <t>kolem Šc,d:(2,0*2,0-3,14*0,55*0,55)*0,2*2</t>
  </si>
  <si>
    <t>kanalizační potrubí:473,5*0,8*0,40</t>
  </si>
  <si>
    <t>odpočet potrubí:-3,14*0,125*0,125*90,7-3,14*0,1*0,1*140,4-3,14*0,08*0,08*133,4</t>
  </si>
  <si>
    <t>-3,14*0,065*0,065*62,0-3,14*0,05*0,05*41,1</t>
  </si>
  <si>
    <t>RT2:(4,2*3,6+5,0*4,4)*0,60-3,0*9,4*0,4</t>
  </si>
  <si>
    <t>Šac,d:(2,0*2,0-3,14*0,55*0,55)*(1,25+0,9)</t>
  </si>
  <si>
    <t>473,5*0,8+1,5*1,5*13+2,0*2,0*2+4,0*3,4</t>
  </si>
  <si>
    <t>473,5*0,8+1,5*1,5*13+2,0*2,0*2+5,4*4,8</t>
  </si>
  <si>
    <t>obsypy objektů:17,55*1,87</t>
  </si>
  <si>
    <t>potrubí kanalizace:473,5*0,80*0,10</t>
  </si>
  <si>
    <t>Š18-29:0,8*0,8*12*0,10</t>
  </si>
  <si>
    <t>RT2:4,0*3,4*0,20</t>
  </si>
  <si>
    <t>Šc,d:2,0*2,0*0,10*2</t>
  </si>
  <si>
    <t>pod RT2:4,2*3,6*0,10</t>
  </si>
  <si>
    <t>pod RT2:(4,2+3,6)*2*0,10</t>
  </si>
  <si>
    <t>větev E:8,1</t>
  </si>
  <si>
    <t>větev D:1,5*1</t>
  </si>
  <si>
    <t>od RT2 k UV:1,0</t>
  </si>
  <si>
    <t>větev E:1,5*4</t>
  </si>
  <si>
    <t>větev F-F4:1,5*(5+4+1+1)</t>
  </si>
  <si>
    <t>přípojky k DV:2,0+1,0+2,5*2,0</t>
  </si>
  <si>
    <t>svislé k DV:1,0*4</t>
  </si>
  <si>
    <t>větev D:20,1</t>
  </si>
  <si>
    <t>větev F1:7,0</t>
  </si>
  <si>
    <t>větev F3:15,3</t>
  </si>
  <si>
    <t>větev F4:19,6</t>
  </si>
  <si>
    <t>větev D:13,6</t>
  </si>
  <si>
    <t>větev E:50,7</t>
  </si>
  <si>
    <t>větev F:29,8</t>
  </si>
  <si>
    <t>větev F2:29,8</t>
  </si>
  <si>
    <t>větev F3:3,1</t>
  </si>
  <si>
    <t>větev F4:6,4</t>
  </si>
  <si>
    <t>větev D:10,3</t>
  </si>
  <si>
    <t>větev E:28,7</t>
  </si>
  <si>
    <t>větev F:58,3</t>
  </si>
  <si>
    <t>větev F2:43,1</t>
  </si>
  <si>
    <t>větev D:85,2</t>
  </si>
  <si>
    <t>od RT2 k Šc:4,5</t>
  </si>
  <si>
    <t>od RT2 k Šd:1,0</t>
  </si>
  <si>
    <t>k ÚV 52-57:2*24</t>
  </si>
  <si>
    <t>k dvorním vtokům:2*4+2</t>
  </si>
  <si>
    <t>k UV od RT2:2</t>
  </si>
  <si>
    <t>větev D k  UV 53:1</t>
  </si>
  <si>
    <t>větev E1 k UV 58:1</t>
  </si>
  <si>
    <t>větev F1 k UV 63:1</t>
  </si>
  <si>
    <t>větev F3 k UV 73:1</t>
  </si>
  <si>
    <t>větev F4 k UV 57:1</t>
  </si>
  <si>
    <t>k UV 53,58,63,73,67:5</t>
  </si>
  <si>
    <t>větev D:1</t>
  </si>
  <si>
    <t>k UV 72:1</t>
  </si>
  <si>
    <t>k UV72:1</t>
  </si>
  <si>
    <t>kÚV 52,56,57,59,74,76,72,66:8</t>
  </si>
  <si>
    <t>k ÚV 54,55,61,62,64,66:6</t>
  </si>
  <si>
    <t>redukce 200/160:</t>
  </si>
  <si>
    <t>větev D-F:1</t>
  </si>
  <si>
    <t>877363121R00</t>
  </si>
  <si>
    <t xml:space="preserve">Montáž tvarovek odboč. plast. gum. kroužek DN 250 </t>
  </si>
  <si>
    <t>odbočka 250/110:</t>
  </si>
  <si>
    <t>větev D k DV:2</t>
  </si>
  <si>
    <t>k UV od RT2:1</t>
  </si>
  <si>
    <t>466,7+0,425*13+1,1*2</t>
  </si>
  <si>
    <t>ÚV 52-75, UV:25</t>
  </si>
  <si>
    <t>Montáž retenční   galerie , šachet  Šc, Šd včetně izolace  RT2</t>
  </si>
  <si>
    <t>895979001</t>
  </si>
  <si>
    <t xml:space="preserve">Doprava RT2 </t>
  </si>
  <si>
    <t>Š23,27,29:3</t>
  </si>
  <si>
    <t>Š 20,21,22,26:4</t>
  </si>
  <si>
    <t>894431314RCA</t>
  </si>
  <si>
    <t>Šachta, D 425 mm, dl.šach.roury 1,50 m, sběrná dno KG D 250 mm, poklop litina 12,5 t</t>
  </si>
  <si>
    <t>Š 18,19:2</t>
  </si>
  <si>
    <t>Š 24,25,28:3</t>
  </si>
  <si>
    <t>45,1*1,015</t>
  </si>
  <si>
    <t>62,0*1,015</t>
  </si>
  <si>
    <t>133,4*1,015</t>
  </si>
  <si>
    <t>140,4*1,015</t>
  </si>
  <si>
    <t>90,7*1,015</t>
  </si>
  <si>
    <t>Redukce kanalizační  200/ 160 PVC</t>
  </si>
  <si>
    <t>28652015</t>
  </si>
  <si>
    <t>Odbočka kanalizační  250/ 110/45° PVC</t>
  </si>
  <si>
    <t>ÚV 52,54-57,59,61,62,64-66,68,70-72,74,75:17</t>
  </si>
  <si>
    <t>ÚV 53,58,60,63,67,69,73, UV od RT2:8</t>
  </si>
  <si>
    <t>Velkokapacitní dvorní vtok DN110 svislý odtok mřížka LT 260/260 mm, odkalovací koš (12,5 t) DV</t>
  </si>
  <si>
    <t>Velkokapacitní dvorní vtok DN110 svislý odtok mřížka nerez 226/226 mm , odkalovací koš (1,5 t) Dva</t>
  </si>
  <si>
    <t>28697901</t>
  </si>
  <si>
    <t>Retenční  galerie 3,6 x 2,4 x 0,40 m, izolace retenční objem 3,46 m3 RT2 obsahuje:</t>
  </si>
  <si>
    <t>vsakovací blok 600 x 400 x 600 mm (ŠxVxD) s kanálkem DN 180</t>
  </si>
  <si>
    <t>vsakovací blok 600 x 400 x 600 mm  (ŠxVxD)</t>
  </si>
  <si>
    <t>vsakovací blok kontrolní 400 x 400 mm (jedná se o 1 komponent: 4 ks na 1 box 400 x 400 x 600 mm)</t>
  </si>
  <si>
    <t>28697902</t>
  </si>
  <si>
    <t>Šachta kanalizační vtoková se sedimentačním prostorem a filtrem pevných částic DN 250, H = 1,81 m  Šc obsahuje:</t>
  </si>
  <si>
    <t>Jímka 1100 , H = 1,8 m (1,3 + 0,5 m)</t>
  </si>
  <si>
    <t>Šachta kanalizažní odtoková s regulovaným odtokem a bezpečnostním přepadem DN 250, H = 1,45 m Šd obsahuje:</t>
  </si>
  <si>
    <t>Jímka 1100 , H = 1,55 m (1,3 + 0,25 m)</t>
  </si>
  <si>
    <t>131301113R00</t>
  </si>
  <si>
    <t>5*238,58</t>
  </si>
  <si>
    <r>
      <t>Příplatek k vod. přemístění hor.1-4 za další 1 km</t>
    </r>
    <r>
      <rPr>
        <b/>
        <sz val="8"/>
        <rFont val="Arial"/>
        <family val="2"/>
        <charset val="238"/>
      </rPr>
      <t xml:space="preserve"> 5x</t>
    </r>
  </si>
  <si>
    <r>
      <t xml:space="preserve">Úprava dlažby na linii, která rozděluje dva odstíny barvy dlažby R01 </t>
    </r>
    <r>
      <rPr>
        <i/>
        <sz val="9"/>
        <rFont val="Arial"/>
        <family val="2"/>
        <charset val="238"/>
      </rPr>
      <t>- srovnatelně</t>
    </r>
  </si>
  <si>
    <t>631311136R</t>
  </si>
  <si>
    <r>
      <t xml:space="preserve">Podklad z kameniva hrubého drceného vel. 32-63 mm </t>
    </r>
    <r>
      <rPr>
        <u/>
        <sz val="9"/>
        <rFont val="Arial"/>
        <family val="2"/>
        <charset val="238"/>
      </rPr>
      <t>tl. 190 mm  -</t>
    </r>
    <r>
      <rPr>
        <i/>
        <u/>
        <sz val="9"/>
        <rFont val="Arial"/>
        <family val="2"/>
        <charset val="238"/>
      </rPr>
      <t xml:space="preserve"> srovnatelně</t>
    </r>
    <r>
      <rPr>
        <u/>
        <sz val="9"/>
        <rFont val="Arial"/>
        <family val="2"/>
        <charset val="238"/>
      </rPr>
      <t xml:space="preserve">  </t>
    </r>
    <r>
      <rPr>
        <i/>
        <sz val="9"/>
        <rFont val="Arial"/>
        <family val="2"/>
        <charset val="238"/>
      </rPr>
      <t xml:space="preserve">      R4+R6=bm*0,25</t>
    </r>
  </si>
  <si>
    <t>březen 2021</t>
  </si>
  <si>
    <t>Provozní vlivy</t>
  </si>
  <si>
    <t>?</t>
  </si>
  <si>
    <t xml:space="preserve">  Celkové náklady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</si>
</sst>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&quot;.&quot;_);;;_(@_)"/>
    <numFmt numFmtId="165" formatCode="_(#,##0.0_);[Red]\-\ #,##0.0_);&quot;–&quot;??;_(@_)"/>
    <numFmt numFmtId="166" formatCode="_-* #,##0.0\ &quot;Kč&quot;_-;\-* #,##0.0\ &quot;Kč&quot;_-;_-* &quot;-&quot;??\ &quot;Kč&quot;_-;_-@_-"/>
    <numFmt numFmtId="167" formatCode="_(#,##0_);[Red]\-\ #,##0_);&quot;–&quot;??;_(@_)"/>
    <numFmt numFmtId="168" formatCode="_(#,##0.00000_);[Red]\-\ #,##0.00000_);&quot;–&quot;??;_(@_)"/>
    <numFmt numFmtId="169" formatCode="_(#,##0.00_);[Red]\-\ #,##0.00_);&quot;–&quot;??;_(@_)"/>
    <numFmt numFmtId="170" formatCode="0.0"/>
    <numFmt numFmtId="171" formatCode="0.0000"/>
    <numFmt numFmtId="172" formatCode="0.000"/>
    <numFmt numFmtId="173" formatCode="#,##0.00_ ;\-#,##0.00\ "/>
    <numFmt numFmtId="174" formatCode="_(#,##0.000_);[Red]\-\ #,##0.000_);&quot;–&quot;??;_(@_)"/>
    <numFmt numFmtId="175" formatCode="_-* #,##0\ &quot;Kč&quot;_-;\-* #,##0\ &quot;Kč&quot;_-;_-* &quot;-&quot;??\ &quot;Kč&quot;_-;_-@_-"/>
    <numFmt numFmtId="176" formatCode="0.000000"/>
    <numFmt numFmtId="177" formatCode="#,##0.0_ ;\-#,##0.0\ "/>
    <numFmt numFmtId="178" formatCode="#,##0.0"/>
  </numFmts>
  <fonts count="9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sz val="8"/>
      <name val="Arial CE"/>
      <charset val="238"/>
    </font>
    <font>
      <sz val="10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family val="2"/>
      <charset val="238"/>
    </font>
    <font>
      <sz val="9"/>
      <name val="Arial Narrow"/>
      <family val="2"/>
      <charset val="238"/>
    </font>
    <font>
      <sz val="9"/>
      <name val="Arial"/>
      <family val="2"/>
      <charset val="238"/>
    </font>
    <font>
      <sz val="7"/>
      <name val="Arial CE"/>
      <charset val="238"/>
    </font>
    <font>
      <sz val="7"/>
      <color rgb="FFFF0000"/>
      <name val="Arial CE"/>
      <charset val="238"/>
    </font>
    <font>
      <b/>
      <sz val="9"/>
      <color indexed="10"/>
      <name val="Arial CE"/>
      <charset val="238"/>
    </font>
    <font>
      <sz val="8"/>
      <color indexed="18"/>
      <name val="Arial"/>
      <family val="2"/>
      <charset val="238"/>
    </font>
    <font>
      <sz val="8"/>
      <color indexed="18"/>
      <name val="Arial Narrow"/>
      <family val="2"/>
      <charset val="238"/>
    </font>
    <font>
      <sz val="8"/>
      <color rgb="FFFF0000"/>
      <name val="Arial"/>
      <family val="2"/>
      <charset val="238"/>
    </font>
    <font>
      <b/>
      <sz val="9"/>
      <color indexed="18"/>
      <name val="Arial Narrow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18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Narrow"/>
      <family val="2"/>
      <charset val="238"/>
    </font>
    <font>
      <sz val="11"/>
      <name val="Calibri"/>
      <family val="2"/>
      <charset val="238"/>
      <scheme val="minor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i/>
      <sz val="11"/>
      <color rgb="FF000000"/>
      <name val="Segoe UI"/>
      <family val="2"/>
      <charset val="238"/>
    </font>
    <font>
      <i/>
      <vertAlign val="superscript"/>
      <sz val="11"/>
      <color rgb="FF000000"/>
      <name val="Segoe UI"/>
      <family val="2"/>
      <charset val="238"/>
    </font>
    <font>
      <b/>
      <i/>
      <sz val="11"/>
      <color rgb="FF000000"/>
      <name val="Segoe UI"/>
      <family val="2"/>
      <charset val="238"/>
    </font>
    <font>
      <b/>
      <i/>
      <vertAlign val="superscript"/>
      <sz val="11"/>
      <color rgb="FF000000"/>
      <name val="Segoe U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rgb="FF002060"/>
      <name val="Arial Narrow"/>
      <family val="2"/>
      <charset val="238"/>
    </font>
    <font>
      <sz val="10"/>
      <color rgb="FF00206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1"/>
      <color rgb="FF002060"/>
      <name val="Arial"/>
      <family val="2"/>
      <charset val="238"/>
    </font>
    <font>
      <sz val="9"/>
      <name val="Arial CE"/>
    </font>
    <font>
      <i/>
      <sz val="9"/>
      <color rgb="FF002060"/>
      <name val="Arial"/>
      <family val="2"/>
      <charset val="238"/>
    </font>
    <font>
      <i/>
      <u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 CE"/>
      <charset val="238"/>
    </font>
    <font>
      <i/>
      <vertAlign val="superscript"/>
      <sz val="9"/>
      <color rgb="FF000000"/>
      <name val="Arial"/>
      <family val="2"/>
      <charset val="238"/>
    </font>
    <font>
      <sz val="9"/>
      <color indexed="18"/>
      <name val="Arial"/>
      <family val="2"/>
      <charset val="238"/>
    </font>
    <font>
      <i/>
      <sz val="9"/>
      <color indexed="18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 Narrow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b/>
      <sz val="9"/>
      <color rgb="FF002060"/>
      <name val="Arial"/>
      <family val="2"/>
      <charset val="238"/>
    </font>
    <font>
      <sz val="9"/>
      <color rgb="FF00206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0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u/>
      <sz val="10"/>
      <color rgb="FF00008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00206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rgb="FF002060"/>
      <name val="Arial"/>
      <family val="2"/>
      <charset val="238"/>
    </font>
    <font>
      <b/>
      <sz val="14"/>
      <name val="Arial"/>
      <family val="2"/>
      <charset val="238"/>
    </font>
    <font>
      <sz val="8"/>
      <color indexed="53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8"/>
      <color rgb="FF002060"/>
      <name val="Wingdings"/>
      <charset val="2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indexed="31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9" fillId="0" borderId="0"/>
    <xf numFmtId="0" fontId="59" fillId="0" borderId="0"/>
    <xf numFmtId="0" fontId="2" fillId="0" borderId="0"/>
    <xf numFmtId="44" fontId="2" fillId="0" borderId="0" applyFill="0" applyBorder="0" applyAlignment="0" applyProtection="0"/>
  </cellStyleXfs>
  <cellXfs count="525">
    <xf numFmtId="0" fontId="0" fillId="0" borderId="0" xfId="0"/>
    <xf numFmtId="164" fontId="3" fillId="2" borderId="1" xfId="2" applyNumberFormat="1" applyFont="1" applyFill="1" applyBorder="1" applyProtection="1">
      <protection locked="0"/>
    </xf>
    <xf numFmtId="0" fontId="5" fillId="2" borderId="2" xfId="3" applyFont="1" applyFill="1" applyBorder="1" applyAlignment="1" applyProtection="1">
      <alignment vertical="center"/>
      <protection locked="0"/>
    </xf>
    <xf numFmtId="4" fontId="6" fillId="2" borderId="2" xfId="3" applyNumberFormat="1" applyFont="1" applyFill="1" applyBorder="1" applyAlignment="1" applyProtection="1">
      <alignment vertical="center"/>
      <protection locked="0"/>
    </xf>
    <xf numFmtId="4" fontId="7" fillId="2" borderId="2" xfId="3" applyNumberFormat="1" applyFont="1" applyFill="1" applyBorder="1" applyAlignment="1" applyProtection="1">
      <alignment vertical="center"/>
      <protection locked="0"/>
    </xf>
    <xf numFmtId="2" fontId="8" fillId="2" borderId="2" xfId="3" applyNumberFormat="1" applyFont="1" applyFill="1" applyBorder="1" applyAlignment="1" applyProtection="1">
      <alignment horizontal="left" vertical="top"/>
      <protection locked="0"/>
    </xf>
    <xf numFmtId="165" fontId="0" fillId="2" borderId="2" xfId="0" applyNumberFormat="1" applyFill="1" applyBorder="1" applyAlignment="1" applyProtection="1">
      <alignment horizontal="center"/>
      <protection locked="0"/>
    </xf>
    <xf numFmtId="49" fontId="10" fillId="2" borderId="2" xfId="0" applyNumberFormat="1" applyFont="1" applyFill="1" applyBorder="1" applyProtection="1">
      <protection locked="0"/>
    </xf>
    <xf numFmtId="166" fontId="11" fillId="2" borderId="3" xfId="1" applyNumberFormat="1" applyFont="1" applyFill="1" applyBorder="1" applyAlignment="1" applyProtection="1">
      <alignment vertical="center"/>
      <protection locked="0"/>
    </xf>
    <xf numFmtId="166" fontId="12" fillId="2" borderId="0" xfId="1" applyNumberFormat="1" applyFont="1" applyFill="1" applyBorder="1" applyAlignment="1" applyProtection="1">
      <alignment vertical="center"/>
      <protection locked="0"/>
    </xf>
    <xf numFmtId="166" fontId="11" fillId="2" borderId="0" xfId="1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2" borderId="4" xfId="2" applyFill="1" applyBorder="1" applyProtection="1">
      <protection locked="0"/>
    </xf>
    <xf numFmtId="0" fontId="5" fillId="2" borderId="5" xfId="3" applyFont="1" applyFill="1" applyBorder="1" applyAlignment="1" applyProtection="1">
      <alignment vertical="center"/>
      <protection locked="0"/>
    </xf>
    <xf numFmtId="4" fontId="6" fillId="2" borderId="5" xfId="3" applyNumberFormat="1" applyFont="1" applyFill="1" applyBorder="1" applyAlignment="1" applyProtection="1">
      <alignment vertical="center"/>
      <protection locked="0"/>
    </xf>
    <xf numFmtId="4" fontId="5" fillId="2" borderId="5" xfId="3" applyNumberFormat="1" applyFont="1" applyFill="1" applyBorder="1" applyAlignment="1" applyProtection="1">
      <alignment vertical="center"/>
      <protection locked="0"/>
    </xf>
    <xf numFmtId="2" fontId="13" fillId="2" borderId="5" xfId="3" applyNumberFormat="1" applyFont="1" applyFill="1" applyBorder="1" applyAlignment="1" applyProtection="1">
      <alignment horizontal="left" vertical="center"/>
      <protection locked="0"/>
    </xf>
    <xf numFmtId="165" fontId="0" fillId="2" borderId="5" xfId="0" applyNumberFormat="1" applyFill="1" applyBorder="1" applyAlignment="1" applyProtection="1">
      <alignment horizontal="center"/>
      <protection locked="0"/>
    </xf>
    <xf numFmtId="0" fontId="0" fillId="2" borderId="5" xfId="0" applyFill="1" applyBorder="1" applyProtection="1">
      <protection locked="0"/>
    </xf>
    <xf numFmtId="166" fontId="11" fillId="2" borderId="6" xfId="1" applyNumberFormat="1" applyFont="1" applyFill="1" applyBorder="1" applyAlignment="1" applyProtection="1">
      <alignment vertical="center"/>
      <protection locked="0"/>
    </xf>
    <xf numFmtId="49" fontId="14" fillId="2" borderId="7" xfId="0" applyNumberFormat="1" applyFont="1" applyFill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49" fontId="14" fillId="2" borderId="8" xfId="0" applyNumberFormat="1" applyFont="1" applyFill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2" fontId="14" fillId="2" borderId="8" xfId="0" applyNumberFormat="1" applyFont="1" applyFill="1" applyBorder="1" applyAlignment="1" applyProtection="1">
      <alignment horizontal="center" vertical="center"/>
      <protection locked="0"/>
    </xf>
    <xf numFmtId="165" fontId="14" fillId="2" borderId="8" xfId="0" applyNumberFormat="1" applyFont="1" applyFill="1" applyBorder="1" applyAlignment="1" applyProtection="1">
      <alignment horizontal="center" vertical="center"/>
      <protection locked="0"/>
    </xf>
    <xf numFmtId="49" fontId="14" fillId="2" borderId="9" xfId="0" applyNumberFormat="1" applyFont="1" applyFill="1" applyBorder="1" applyAlignment="1" applyProtection="1">
      <alignment horizontal="center" vertical="center"/>
      <protection locked="0"/>
    </xf>
    <xf numFmtId="49" fontId="16" fillId="2" borderId="0" xfId="0" applyNumberFormat="1" applyFont="1" applyFill="1" applyAlignment="1" applyProtection="1">
      <alignment horizontal="center" vertical="center"/>
      <protection locked="0"/>
    </xf>
    <xf numFmtId="49" fontId="14" fillId="2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/>
      <protection locked="0"/>
    </xf>
    <xf numFmtId="49" fontId="18" fillId="0" borderId="0" xfId="0" applyNumberFormat="1" applyFont="1" applyAlignment="1" applyProtection="1">
      <alignment horizontal="center"/>
      <protection locked="0"/>
    </xf>
    <xf numFmtId="2" fontId="18" fillId="0" borderId="0" xfId="0" applyNumberFormat="1" applyFont="1" applyAlignment="1" applyProtection="1">
      <alignment horizontal="center"/>
      <protection locked="0"/>
    </xf>
    <xf numFmtId="165" fontId="18" fillId="0" borderId="0" xfId="0" applyNumberFormat="1" applyFont="1" applyAlignment="1" applyProtection="1">
      <alignment horizontal="center"/>
      <protection locked="0"/>
    </xf>
    <xf numFmtId="167" fontId="18" fillId="0" borderId="0" xfId="0" applyNumberFormat="1" applyFont="1" applyProtection="1">
      <protection locked="0"/>
    </xf>
    <xf numFmtId="169" fontId="17" fillId="0" borderId="0" xfId="0" applyNumberFormat="1" applyFont="1" applyProtection="1">
      <protection locked="0"/>
    </xf>
    <xf numFmtId="165" fontId="19" fillId="0" borderId="0" xfId="0" applyNumberFormat="1" applyFont="1" applyProtection="1">
      <protection locked="0"/>
    </xf>
    <xf numFmtId="165" fontId="20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168" fontId="22" fillId="0" borderId="10" xfId="0" applyNumberFormat="1" applyFont="1" applyBorder="1" applyAlignment="1" applyProtection="1">
      <alignment horizontal="center" vertical="top"/>
      <protection locked="0"/>
    </xf>
    <xf numFmtId="165" fontId="22" fillId="0" borderId="10" xfId="0" applyNumberFormat="1" applyFont="1" applyBorder="1" applyAlignment="1" applyProtection="1">
      <alignment horizontal="center" vertical="top"/>
      <protection locked="0"/>
    </xf>
    <xf numFmtId="165" fontId="22" fillId="0" borderId="0" xfId="0" applyNumberFormat="1" applyFont="1" applyAlignment="1" applyProtection="1">
      <alignment horizontal="center" vertical="top"/>
      <protection locked="0"/>
    </xf>
    <xf numFmtId="49" fontId="21" fillId="0" borderId="11" xfId="0" applyNumberFormat="1" applyFont="1" applyBorder="1" applyAlignment="1" applyProtection="1">
      <alignment horizontal="center" vertical="top"/>
      <protection locked="0"/>
    </xf>
    <xf numFmtId="0" fontId="10" fillId="3" borderId="10" xfId="0" applyFont="1" applyFill="1" applyBorder="1" applyAlignment="1">
      <alignment vertical="top" wrapText="1" indent="1"/>
    </xf>
    <xf numFmtId="0" fontId="10" fillId="3" borderId="10" xfId="0" applyFont="1" applyFill="1" applyBorder="1"/>
    <xf numFmtId="167" fontId="25" fillId="0" borderId="1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>
      <alignment horizontal="left"/>
    </xf>
    <xf numFmtId="0" fontId="10" fillId="3" borderId="10" xfId="0" applyFont="1" applyFill="1" applyBorder="1" applyAlignment="1">
      <alignment horizontal="left" vertical="top" wrapText="1"/>
    </xf>
    <xf numFmtId="170" fontId="10" fillId="3" borderId="10" xfId="0" applyNumberFormat="1" applyFont="1" applyFill="1" applyBorder="1" applyAlignment="1">
      <alignment horizontal="center" vertical="top" wrapText="1"/>
    </xf>
    <xf numFmtId="166" fontId="0" fillId="2" borderId="5" xfId="1" applyNumberFormat="1" applyFont="1" applyFill="1" applyBorder="1" applyProtection="1">
      <protection locked="0"/>
    </xf>
    <xf numFmtId="166" fontId="14" fillId="2" borderId="8" xfId="1" applyNumberFormat="1" applyFont="1" applyFill="1" applyBorder="1" applyAlignment="1" applyProtection="1">
      <alignment horizontal="center" vertical="center"/>
      <protection locked="0"/>
    </xf>
    <xf numFmtId="166" fontId="18" fillId="0" borderId="0" xfId="1" applyNumberFormat="1" applyFont="1" applyProtection="1">
      <protection locked="0"/>
    </xf>
    <xf numFmtId="166" fontId="10" fillId="3" borderId="10" xfId="1" applyNumberFormat="1" applyFont="1" applyFill="1" applyBorder="1" applyAlignment="1" applyProtection="1">
      <alignment horizontal="right" vertical="top"/>
      <protection locked="0"/>
    </xf>
    <xf numFmtId="166" fontId="0" fillId="0" borderId="0" xfId="1" applyNumberFormat="1" applyFont="1"/>
    <xf numFmtId="171" fontId="9" fillId="2" borderId="2" xfId="0" applyNumberFormat="1" applyFont="1" applyFill="1" applyBorder="1" applyAlignment="1" applyProtection="1">
      <alignment horizontal="center" vertical="top"/>
      <protection locked="0"/>
    </xf>
    <xf numFmtId="171" fontId="9" fillId="2" borderId="5" xfId="0" applyNumberFormat="1" applyFont="1" applyFill="1" applyBorder="1" applyAlignment="1" applyProtection="1">
      <alignment horizontal="center" vertical="top"/>
      <protection locked="0"/>
    </xf>
    <xf numFmtId="171" fontId="17" fillId="0" borderId="0" xfId="0" applyNumberFormat="1" applyFont="1" applyAlignment="1" applyProtection="1">
      <alignment horizontal="center" vertical="top"/>
      <protection locked="0"/>
    </xf>
    <xf numFmtId="171" fontId="0" fillId="0" borderId="0" xfId="0" applyNumberFormat="1" applyAlignment="1">
      <alignment horizontal="center" vertical="top"/>
    </xf>
    <xf numFmtId="171" fontId="10" fillId="0" borderId="10" xfId="0" applyNumberFormat="1" applyFont="1" applyBorder="1" applyAlignment="1">
      <alignment horizontal="center" vertical="top"/>
    </xf>
    <xf numFmtId="167" fontId="25" fillId="0" borderId="12" xfId="0" applyNumberFormat="1" applyFont="1" applyBorder="1" applyAlignment="1" applyProtection="1">
      <alignment horizontal="center" vertical="top"/>
      <protection locked="0"/>
    </xf>
    <xf numFmtId="0" fontId="26" fillId="0" borderId="0" xfId="0" applyFont="1"/>
    <xf numFmtId="167" fontId="24" fillId="0" borderId="0" xfId="0" applyNumberFormat="1" applyFont="1" applyProtection="1">
      <protection locked="0"/>
    </xf>
    <xf numFmtId="170" fontId="10" fillId="3" borderId="10" xfId="0" applyNumberFormat="1" applyFont="1" applyFill="1" applyBorder="1" applyAlignment="1">
      <alignment horizontal="center" vertical="top"/>
    </xf>
    <xf numFmtId="172" fontId="10" fillId="2" borderId="2" xfId="0" applyNumberFormat="1" applyFont="1" applyFill="1" applyBorder="1" applyAlignment="1" applyProtection="1">
      <alignment horizontal="center"/>
      <protection locked="0"/>
    </xf>
    <xf numFmtId="172" fontId="10" fillId="2" borderId="5" xfId="0" applyNumberFormat="1" applyFont="1" applyFill="1" applyBorder="1" applyAlignment="1" applyProtection="1">
      <alignment horizontal="center"/>
      <protection locked="0"/>
    </xf>
    <xf numFmtId="172" fontId="15" fillId="2" borderId="8" xfId="0" applyNumberFormat="1" applyFont="1" applyFill="1" applyBorder="1" applyAlignment="1" applyProtection="1">
      <alignment horizontal="center" vertical="center"/>
      <protection locked="0"/>
    </xf>
    <xf numFmtId="172" fontId="22" fillId="0" borderId="10" xfId="0" applyNumberFormat="1" applyFont="1" applyBorder="1" applyAlignment="1" applyProtection="1">
      <alignment horizontal="center" vertical="top"/>
      <protection locked="0"/>
    </xf>
    <xf numFmtId="172" fontId="17" fillId="0" borderId="0" xfId="0" applyNumberFormat="1" applyFont="1" applyAlignment="1" applyProtection="1">
      <alignment horizontal="center"/>
      <protection locked="0"/>
    </xf>
    <xf numFmtId="172" fontId="0" fillId="0" borderId="0" xfId="0" applyNumberFormat="1" applyAlignment="1">
      <alignment horizontal="center"/>
    </xf>
    <xf numFmtId="172" fontId="10" fillId="0" borderId="10" xfId="0" applyNumberFormat="1" applyFont="1" applyBorder="1" applyAlignment="1">
      <alignment horizontal="center" vertical="top"/>
    </xf>
    <xf numFmtId="49" fontId="14" fillId="2" borderId="0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2" fontId="14" fillId="2" borderId="0" xfId="0" applyNumberFormat="1" applyFont="1" applyFill="1" applyBorder="1" applyAlignment="1" applyProtection="1">
      <alignment horizontal="center" vertical="center"/>
      <protection locked="0"/>
    </xf>
    <xf numFmtId="165" fontId="14" fillId="2" borderId="0" xfId="0" applyNumberFormat="1" applyFont="1" applyFill="1" applyBorder="1" applyAlignment="1" applyProtection="1">
      <alignment horizontal="center" vertical="center"/>
      <protection locked="0"/>
    </xf>
    <xf numFmtId="166" fontId="14" fillId="2" borderId="0" xfId="1" applyNumberFormat="1" applyFont="1" applyFill="1" applyBorder="1" applyAlignment="1" applyProtection="1">
      <alignment horizontal="center" vertical="center"/>
      <protection locked="0"/>
    </xf>
    <xf numFmtId="172" fontId="15" fillId="2" borderId="0" xfId="0" applyNumberFormat="1" applyFont="1" applyFill="1" applyBorder="1" applyAlignment="1" applyProtection="1">
      <alignment horizontal="center" vertical="center"/>
      <protection locked="0"/>
    </xf>
    <xf numFmtId="49" fontId="15" fillId="2" borderId="0" xfId="0" applyNumberFormat="1" applyFont="1" applyFill="1" applyBorder="1" applyAlignment="1" applyProtection="1">
      <alignment horizontal="center" vertical="center"/>
      <protection locked="0"/>
    </xf>
    <xf numFmtId="0" fontId="27" fillId="3" borderId="10" xfId="0" applyFont="1" applyFill="1" applyBorder="1" applyAlignment="1">
      <alignment horizontal="left" vertical="top" wrapText="1"/>
    </xf>
    <xf numFmtId="0" fontId="27" fillId="3" borderId="10" xfId="0" applyFont="1" applyFill="1" applyBorder="1" applyAlignment="1">
      <alignment vertical="top" wrapText="1" indent="1"/>
    </xf>
    <xf numFmtId="2" fontId="27" fillId="3" borderId="10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10" fillId="0" borderId="0" xfId="0" applyFont="1" applyAlignment="1" applyProtection="1">
      <alignment horizontal="left"/>
      <protection locked="0"/>
    </xf>
    <xf numFmtId="49" fontId="10" fillId="0" borderId="0" xfId="0" applyNumberFormat="1" applyFont="1" applyAlignment="1" applyProtection="1">
      <alignment horizontal="center"/>
      <protection locked="0"/>
    </xf>
    <xf numFmtId="167" fontId="25" fillId="3" borderId="10" xfId="0" applyNumberFormat="1" applyFont="1" applyFill="1" applyBorder="1" applyAlignment="1" applyProtection="1">
      <alignment horizontal="center" vertical="top"/>
      <protection locked="0"/>
    </xf>
    <xf numFmtId="0" fontId="10" fillId="3" borderId="10" xfId="0" applyFont="1" applyFill="1" applyBorder="1" applyAlignment="1">
      <alignment vertical="top" wrapText="1"/>
    </xf>
    <xf numFmtId="171" fontId="9" fillId="0" borderId="13" xfId="0" applyNumberFormat="1" applyFont="1" applyBorder="1" applyAlignment="1" applyProtection="1">
      <alignment horizontal="center" vertical="top"/>
      <protection locked="0"/>
    </xf>
    <xf numFmtId="171" fontId="9" fillId="0" borderId="10" xfId="0" applyNumberFormat="1" applyFont="1" applyBorder="1" applyAlignment="1" applyProtection="1">
      <alignment horizontal="center" vertical="top"/>
      <protection locked="0"/>
    </xf>
    <xf numFmtId="171" fontId="9" fillId="0" borderId="14" xfId="0" applyNumberFormat="1" applyFont="1" applyBorder="1" applyAlignment="1" applyProtection="1">
      <alignment horizontal="center" vertical="top"/>
      <protection locked="0"/>
    </xf>
    <xf numFmtId="0" fontId="10" fillId="0" borderId="0" xfId="0" applyFont="1" applyProtection="1"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167" fontId="10" fillId="0" borderId="0" xfId="0" applyNumberFormat="1" applyFont="1" applyProtection="1">
      <protection locked="0"/>
    </xf>
    <xf numFmtId="171" fontId="10" fillId="0" borderId="0" xfId="0" applyNumberFormat="1" applyFont="1" applyAlignment="1" applyProtection="1">
      <alignment horizontal="center" vertical="top"/>
      <protection locked="0"/>
    </xf>
    <xf numFmtId="172" fontId="10" fillId="0" borderId="0" xfId="0" applyNumberFormat="1" applyFont="1" applyAlignment="1" applyProtection="1">
      <alignment horizontal="center"/>
      <protection locked="0"/>
    </xf>
    <xf numFmtId="169" fontId="10" fillId="0" borderId="0" xfId="0" applyNumberFormat="1" applyFont="1" applyProtection="1">
      <protection locked="0"/>
    </xf>
    <xf numFmtId="165" fontId="10" fillId="0" borderId="0" xfId="0" applyNumberFormat="1" applyFont="1" applyProtection="1">
      <protection locked="0"/>
    </xf>
    <xf numFmtId="166" fontId="10" fillId="3" borderId="14" xfId="1" applyNumberFormat="1" applyFont="1" applyFill="1" applyBorder="1" applyAlignment="1" applyProtection="1">
      <alignment horizontal="right" vertical="top"/>
      <protection locked="0"/>
    </xf>
    <xf numFmtId="167" fontId="25" fillId="3" borderId="14" xfId="0" applyNumberFormat="1" applyFont="1" applyFill="1" applyBorder="1" applyAlignment="1" applyProtection="1">
      <alignment horizontal="center" vertical="top"/>
      <protection locked="0"/>
    </xf>
    <xf numFmtId="172" fontId="22" fillId="0" borderId="14" xfId="0" applyNumberFormat="1" applyFont="1" applyBorder="1" applyAlignment="1" applyProtection="1">
      <alignment horizontal="center" vertical="top"/>
      <protection locked="0"/>
    </xf>
    <xf numFmtId="165" fontId="22" fillId="0" borderId="14" xfId="0" applyNumberFormat="1" applyFont="1" applyBorder="1" applyAlignment="1" applyProtection="1">
      <alignment horizontal="center" vertical="top"/>
      <protection locked="0"/>
    </xf>
    <xf numFmtId="165" fontId="20" fillId="0" borderId="0" xfId="0" applyNumberFormat="1" applyFont="1" applyAlignment="1" applyProtection="1">
      <alignment vertical="top"/>
      <protection locked="0"/>
    </xf>
    <xf numFmtId="165" fontId="19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7" fillId="0" borderId="10" xfId="0" applyFont="1" applyBorder="1" applyAlignment="1" applyProtection="1">
      <alignment horizontal="left" vertical="top"/>
      <protection locked="0"/>
    </xf>
    <xf numFmtId="165" fontId="18" fillId="0" borderId="10" xfId="0" applyNumberFormat="1" applyFont="1" applyBorder="1" applyAlignment="1" applyProtection="1">
      <alignment horizontal="center" vertical="top"/>
      <protection locked="0"/>
    </xf>
    <xf numFmtId="166" fontId="18" fillId="0" borderId="10" xfId="1" applyNumberFormat="1" applyFont="1" applyBorder="1" applyAlignment="1" applyProtection="1">
      <alignment vertical="top"/>
      <protection locked="0"/>
    </xf>
    <xf numFmtId="167" fontId="18" fillId="0" borderId="10" xfId="0" applyNumberFormat="1" applyFont="1" applyBorder="1" applyAlignment="1" applyProtection="1">
      <alignment vertical="top"/>
      <protection locked="0"/>
    </xf>
    <xf numFmtId="172" fontId="17" fillId="0" borderId="10" xfId="0" applyNumberFormat="1" applyFont="1" applyBorder="1" applyAlignment="1" applyProtection="1">
      <alignment horizontal="center" vertical="top"/>
      <protection locked="0"/>
    </xf>
    <xf numFmtId="169" fontId="17" fillId="0" borderId="10" xfId="0" applyNumberFormat="1" applyFont="1" applyBorder="1" applyAlignment="1" applyProtection="1">
      <alignment vertical="top"/>
      <protection locked="0"/>
    </xf>
    <xf numFmtId="165" fontId="19" fillId="0" borderId="10" xfId="0" applyNumberFormat="1" applyFont="1" applyBorder="1" applyAlignment="1" applyProtection="1">
      <alignment vertical="top"/>
      <protection locked="0"/>
    </xf>
    <xf numFmtId="0" fontId="10" fillId="3" borderId="10" xfId="0" applyFont="1" applyFill="1" applyBorder="1" applyAlignment="1">
      <alignment horizontal="center" vertical="top" wrapText="1"/>
    </xf>
    <xf numFmtId="2" fontId="27" fillId="0" borderId="10" xfId="0" applyNumberFormat="1" applyFont="1" applyBorder="1" applyAlignment="1" applyProtection="1">
      <alignment horizontal="center" vertical="top"/>
      <protection locked="0"/>
    </xf>
    <xf numFmtId="171" fontId="10" fillId="3" borderId="10" xfId="0" applyNumberFormat="1" applyFont="1" applyFill="1" applyBorder="1" applyAlignment="1" applyProtection="1">
      <alignment horizontal="center" vertical="top"/>
      <protection locked="0"/>
    </xf>
    <xf numFmtId="0" fontId="10" fillId="3" borderId="10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 vertical="top"/>
    </xf>
    <xf numFmtId="1" fontId="10" fillId="3" borderId="10" xfId="0" applyNumberFormat="1" applyFont="1" applyFill="1" applyBorder="1" applyAlignment="1" applyProtection="1">
      <alignment horizontal="center" vertical="top"/>
      <protection locked="0"/>
    </xf>
    <xf numFmtId="165" fontId="10" fillId="3" borderId="10" xfId="0" applyNumberFormat="1" applyFont="1" applyFill="1" applyBorder="1" applyAlignment="1" applyProtection="1">
      <alignment horizontal="center" vertical="top"/>
      <protection locked="0"/>
    </xf>
    <xf numFmtId="167" fontId="24" fillId="0" borderId="10" xfId="0" applyNumberFormat="1" applyFont="1" applyBorder="1" applyAlignment="1" applyProtection="1">
      <alignment horizontal="center" vertical="top"/>
      <protection locked="0"/>
    </xf>
    <xf numFmtId="0" fontId="32" fillId="3" borderId="10" xfId="0" applyFont="1" applyFill="1" applyBorder="1" applyAlignment="1">
      <alignment horizontal="center" vertical="top"/>
    </xf>
    <xf numFmtId="173" fontId="10" fillId="3" borderId="10" xfId="4" applyNumberFormat="1" applyFont="1" applyFill="1" applyBorder="1" applyAlignment="1">
      <alignment horizontal="center" vertical="top"/>
    </xf>
    <xf numFmtId="0" fontId="31" fillId="3" borderId="10" xfId="0" applyFont="1" applyFill="1" applyBorder="1" applyAlignment="1">
      <alignment horizontal="center" vertical="top"/>
    </xf>
    <xf numFmtId="174" fontId="10" fillId="3" borderId="10" xfId="0" applyNumberFormat="1" applyFont="1" applyFill="1" applyBorder="1" applyAlignment="1">
      <alignment vertical="top"/>
    </xf>
    <xf numFmtId="173" fontId="10" fillId="3" borderId="14" xfId="4" applyNumberFormat="1" applyFont="1" applyFill="1" applyBorder="1" applyAlignment="1">
      <alignment horizontal="center" vertical="top"/>
    </xf>
    <xf numFmtId="0" fontId="10" fillId="3" borderId="10" xfId="0" applyFont="1" applyFill="1" applyBorder="1" applyAlignment="1">
      <alignment vertical="top"/>
    </xf>
    <xf numFmtId="165" fontId="10" fillId="3" borderId="10" xfId="0" applyNumberFormat="1" applyFont="1" applyFill="1" applyBorder="1" applyAlignment="1">
      <alignment horizontal="center" vertical="top"/>
    </xf>
    <xf numFmtId="49" fontId="24" fillId="0" borderId="10" xfId="0" applyNumberFormat="1" applyFont="1" applyBorder="1" applyAlignment="1">
      <alignment horizontal="center" vertical="top"/>
    </xf>
    <xf numFmtId="0" fontId="10" fillId="0" borderId="0" xfId="0" applyFont="1" applyAlignment="1" applyProtection="1">
      <alignment vertical="top"/>
      <protection locked="0"/>
    </xf>
    <xf numFmtId="0" fontId="27" fillId="3" borderId="0" xfId="0" applyFont="1" applyFill="1" applyBorder="1" applyAlignment="1">
      <alignment horizontal="left" vertical="top" wrapText="1"/>
    </xf>
    <xf numFmtId="2" fontId="27" fillId="3" borderId="0" xfId="0" applyNumberFormat="1" applyFont="1" applyFill="1" applyBorder="1" applyAlignment="1">
      <alignment horizontal="center" vertical="top" wrapText="1"/>
    </xf>
    <xf numFmtId="0" fontId="30" fillId="3" borderId="10" xfId="0" applyFont="1" applyFill="1" applyBorder="1" applyAlignment="1">
      <alignment horizontal="center" vertical="top" wrapText="1"/>
    </xf>
    <xf numFmtId="165" fontId="10" fillId="3" borderId="10" xfId="0" applyNumberFormat="1" applyFont="1" applyFill="1" applyBorder="1" applyAlignment="1">
      <alignment horizontal="center" vertical="top" wrapText="1"/>
    </xf>
    <xf numFmtId="165" fontId="31" fillId="3" borderId="10" xfId="0" applyNumberFormat="1" applyFont="1" applyFill="1" applyBorder="1" applyAlignment="1">
      <alignment horizontal="center" vertical="top"/>
    </xf>
    <xf numFmtId="165" fontId="30" fillId="3" borderId="10" xfId="0" applyNumberFormat="1" applyFont="1" applyFill="1" applyBorder="1" applyAlignment="1">
      <alignment horizontal="center" vertical="top" wrapText="1"/>
    </xf>
    <xf numFmtId="0" fontId="10" fillId="0" borderId="10" xfId="0" applyFont="1" applyBorder="1" applyAlignment="1">
      <alignment vertical="top"/>
    </xf>
    <xf numFmtId="0" fontId="0" fillId="0" borderId="0" xfId="0" applyAlignment="1">
      <alignment vertical="top"/>
    </xf>
    <xf numFmtId="0" fontId="27" fillId="3" borderId="10" xfId="0" applyFont="1" applyFill="1" applyBorder="1" applyAlignment="1">
      <alignment horizontal="center" vertical="top" wrapText="1"/>
    </xf>
    <xf numFmtId="172" fontId="10" fillId="3" borderId="10" xfId="0" applyNumberFormat="1" applyFont="1" applyFill="1" applyBorder="1" applyAlignment="1">
      <alignment horizontal="center" vertical="top"/>
    </xf>
    <xf numFmtId="49" fontId="32" fillId="3" borderId="10" xfId="0" applyNumberFormat="1" applyFont="1" applyFill="1" applyBorder="1" applyAlignment="1">
      <alignment horizontal="center" vertical="top"/>
    </xf>
    <xf numFmtId="171" fontId="10" fillId="3" borderId="10" xfId="0" applyNumberFormat="1" applyFont="1" applyFill="1" applyBorder="1" applyAlignment="1">
      <alignment horizontal="center" vertical="top"/>
    </xf>
    <xf numFmtId="0" fontId="0" fillId="0" borderId="10" xfId="0" applyBorder="1"/>
    <xf numFmtId="0" fontId="10" fillId="4" borderId="10" xfId="0" applyFont="1" applyFill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2" fontId="10" fillId="3" borderId="10" xfId="0" applyNumberFormat="1" applyFont="1" applyFill="1" applyBorder="1" applyAlignment="1">
      <alignment horizontal="center" vertical="top" wrapText="1"/>
    </xf>
    <xf numFmtId="0" fontId="35" fillId="3" borderId="10" xfId="0" applyFont="1" applyFill="1" applyBorder="1" applyAlignment="1">
      <alignment horizontal="center" vertical="top" wrapText="1"/>
    </xf>
    <xf numFmtId="0" fontId="35" fillId="3" borderId="15" xfId="0" applyFont="1" applyFill="1" applyBorder="1" applyAlignment="1">
      <alignment horizontal="center" vertical="top" wrapText="1"/>
    </xf>
    <xf numFmtId="0" fontId="29" fillId="0" borderId="10" xfId="0" applyFont="1" applyBorder="1" applyAlignment="1" applyProtection="1">
      <alignment horizontal="right" vertical="center"/>
      <protection locked="0"/>
    </xf>
    <xf numFmtId="2" fontId="29" fillId="0" borderId="13" xfId="0" applyNumberFormat="1" applyFont="1" applyBorder="1" applyAlignment="1" applyProtection="1">
      <alignment horizontal="center" vertical="center"/>
      <protection locked="0"/>
    </xf>
    <xf numFmtId="0" fontId="37" fillId="3" borderId="13" xfId="0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2" borderId="17" xfId="2" applyFill="1" applyBorder="1" applyAlignment="1" applyProtection="1">
      <alignment vertical="center"/>
      <protection locked="0"/>
    </xf>
    <xf numFmtId="172" fontId="0" fillId="0" borderId="10" xfId="0" applyNumberFormat="1" applyBorder="1" applyAlignment="1">
      <alignment horizontal="center"/>
    </xf>
    <xf numFmtId="2" fontId="10" fillId="4" borderId="10" xfId="0" applyNumberFormat="1" applyFont="1" applyFill="1" applyBorder="1" applyAlignment="1">
      <alignment horizontal="center" vertical="top"/>
    </xf>
    <xf numFmtId="0" fontId="31" fillId="0" borderId="10" xfId="0" applyFont="1" applyBorder="1" applyAlignment="1">
      <alignment horizontal="center" vertical="top"/>
    </xf>
    <xf numFmtId="43" fontId="10" fillId="3" borderId="10" xfId="4" applyFont="1" applyFill="1" applyBorder="1" applyAlignment="1">
      <alignment horizontal="right" vertical="top" indent="1"/>
    </xf>
    <xf numFmtId="0" fontId="0" fillId="0" borderId="5" xfId="0" applyBorder="1"/>
    <xf numFmtId="175" fontId="39" fillId="0" borderId="0" xfId="1" applyNumberFormat="1" applyFont="1"/>
    <xf numFmtId="175" fontId="39" fillId="0" borderId="5" xfId="1" applyNumberFormat="1" applyFont="1" applyBorder="1"/>
    <xf numFmtId="175" fontId="40" fillId="0" borderId="0" xfId="1" applyNumberFormat="1" applyFont="1"/>
    <xf numFmtId="175" fontId="40" fillId="0" borderId="16" xfId="1" applyNumberFormat="1" applyFont="1" applyBorder="1" applyAlignment="1">
      <alignment vertical="center"/>
    </xf>
    <xf numFmtId="0" fontId="39" fillId="0" borderId="0" xfId="0" applyFont="1"/>
    <xf numFmtId="0" fontId="41" fillId="0" borderId="0" xfId="0" applyFont="1" applyAlignment="1" applyProtection="1">
      <alignment horizontal="left"/>
      <protection locked="0"/>
    </xf>
    <xf numFmtId="0" fontId="41" fillId="0" borderId="5" xfId="0" applyFont="1" applyBorder="1" applyAlignment="1" applyProtection="1">
      <alignment horizontal="left"/>
      <protection locked="0"/>
    </xf>
    <xf numFmtId="0" fontId="39" fillId="0" borderId="0" xfId="0" applyFont="1" applyAlignment="1">
      <alignment horizontal="right" indent="2"/>
    </xf>
    <xf numFmtId="0" fontId="39" fillId="0" borderId="5" xfId="0" applyFont="1" applyBorder="1"/>
    <xf numFmtId="0" fontId="39" fillId="0" borderId="18" xfId="0" applyFont="1" applyBorder="1" applyAlignment="1">
      <alignment horizontal="right" vertical="center" indent="2"/>
    </xf>
    <xf numFmtId="0" fontId="2" fillId="0" borderId="0" xfId="5"/>
    <xf numFmtId="175" fontId="18" fillId="0" borderId="0" xfId="6" applyNumberFormat="1" applyFont="1"/>
    <xf numFmtId="0" fontId="42" fillId="0" borderId="0" xfId="5" applyFont="1" applyAlignment="1">
      <alignment horizontal="right"/>
    </xf>
    <xf numFmtId="0" fontId="43" fillId="0" borderId="0" xfId="5" applyFont="1" applyAlignment="1">
      <alignment horizontal="left"/>
    </xf>
    <xf numFmtId="0" fontId="43" fillId="0" borderId="0" xfId="5" applyFont="1"/>
    <xf numFmtId="164" fontId="3" fillId="2" borderId="2" xfId="2" applyNumberFormat="1" applyFont="1" applyFill="1" applyBorder="1" applyAlignment="1" applyProtection="1">
      <alignment vertical="center"/>
      <protection locked="0"/>
    </xf>
    <xf numFmtId="0" fontId="2" fillId="2" borderId="5" xfId="2" applyFill="1" applyBorder="1" applyAlignment="1" applyProtection="1">
      <alignment vertical="center"/>
      <protection locked="0"/>
    </xf>
    <xf numFmtId="0" fontId="43" fillId="0" borderId="5" xfId="5" applyFont="1" applyBorder="1"/>
    <xf numFmtId="0" fontId="44" fillId="2" borderId="19" xfId="5" applyFont="1" applyFill="1" applyBorder="1" applyAlignment="1">
      <alignment vertical="center"/>
    </xf>
    <xf numFmtId="0" fontId="2" fillId="2" borderId="20" xfId="5" applyFill="1" applyBorder="1"/>
    <xf numFmtId="175" fontId="44" fillId="2" borderId="21" xfId="6" applyNumberFormat="1" applyFont="1" applyFill="1" applyBorder="1" applyAlignment="1">
      <alignment vertical="center"/>
    </xf>
    <xf numFmtId="175" fontId="40" fillId="2" borderId="22" xfId="1" applyNumberFormat="1" applyFont="1" applyFill="1" applyBorder="1" applyAlignment="1">
      <alignment vertical="center"/>
    </xf>
    <xf numFmtId="49" fontId="6" fillId="2" borderId="3" xfId="3" applyNumberFormat="1" applyFont="1" applyFill="1" applyBorder="1" applyAlignment="1" applyProtection="1">
      <alignment horizontal="center" vertical="center"/>
      <protection locked="0"/>
    </xf>
    <xf numFmtId="0" fontId="44" fillId="0" borderId="0" xfId="5" applyFont="1" applyAlignment="1">
      <alignment horizontal="left" vertical="center"/>
    </xf>
    <xf numFmtId="49" fontId="45" fillId="0" borderId="0" xfId="5" applyNumberFormat="1" applyFont="1" applyAlignment="1">
      <alignment horizontal="left" indent="1"/>
    </xf>
    <xf numFmtId="175" fontId="46" fillId="0" borderId="0" xfId="6" applyNumberFormat="1" applyFont="1" applyAlignment="1">
      <alignment horizontal="center"/>
    </xf>
    <xf numFmtId="175" fontId="46" fillId="0" borderId="5" xfId="6" applyNumberFormat="1" applyFont="1" applyBorder="1" applyAlignment="1">
      <alignment horizontal="center"/>
    </xf>
    <xf numFmtId="0" fontId="41" fillId="0" borderId="0" xfId="0" applyFont="1"/>
    <xf numFmtId="0" fontId="2" fillId="0" borderId="0" xfId="5" applyAlignment="1">
      <alignment vertical="center"/>
    </xf>
    <xf numFmtId="175" fontId="39" fillId="0" borderId="0" xfId="6" applyNumberFormat="1" applyFont="1" applyAlignment="1">
      <alignment vertical="center"/>
    </xf>
    <xf numFmtId="0" fontId="30" fillId="3" borderId="10" xfId="0" applyFont="1" applyFill="1" applyBorder="1" applyAlignment="1">
      <alignment vertical="top" wrapText="1" indent="1"/>
    </xf>
    <xf numFmtId="49" fontId="47" fillId="3" borderId="23" xfId="0" applyNumberFormat="1" applyFont="1" applyFill="1" applyBorder="1" applyAlignment="1">
      <alignment horizontal="left" vertical="center" wrapText="1"/>
    </xf>
    <xf numFmtId="166" fontId="10" fillId="2" borderId="2" xfId="1" applyNumberFormat="1" applyFont="1" applyFill="1" applyBorder="1" applyProtection="1">
      <protection locked="0"/>
    </xf>
    <xf numFmtId="166" fontId="10" fillId="3" borderId="10" xfId="1" applyNumberFormat="1" applyFont="1" applyFill="1" applyBorder="1" applyAlignment="1">
      <alignment vertical="top"/>
    </xf>
    <xf numFmtId="166" fontId="27" fillId="3" borderId="10" xfId="1" applyNumberFormat="1" applyFont="1" applyFill="1" applyBorder="1" applyAlignment="1">
      <alignment horizontal="left" vertical="top" wrapText="1"/>
    </xf>
    <xf numFmtId="165" fontId="48" fillId="0" borderId="0" xfId="0" applyNumberFormat="1" applyFont="1" applyAlignment="1" applyProtection="1">
      <alignment horizontal="center"/>
      <protection locked="0"/>
    </xf>
    <xf numFmtId="173" fontId="48" fillId="0" borderId="0" xfId="4" applyNumberFormat="1" applyFont="1" applyAlignment="1" applyProtection="1">
      <alignment horizontal="center"/>
      <protection locked="0"/>
    </xf>
    <xf numFmtId="173" fontId="30" fillId="3" borderId="10" xfId="0" applyNumberFormat="1" applyFont="1" applyFill="1" applyBorder="1" applyAlignment="1">
      <alignment horizontal="center" vertical="top" wrapText="1"/>
    </xf>
    <xf numFmtId="0" fontId="27" fillId="0" borderId="0" xfId="0" applyFont="1" applyAlignment="1" applyProtection="1">
      <alignment horizontal="left" vertical="center"/>
      <protection locked="0"/>
    </xf>
    <xf numFmtId="169" fontId="27" fillId="0" borderId="10" xfId="0" applyNumberFormat="1" applyFont="1" applyBorder="1" applyAlignment="1" applyProtection="1">
      <alignment horizontal="center" vertical="top"/>
      <protection locked="0"/>
    </xf>
    <xf numFmtId="0" fontId="50" fillId="3" borderId="10" xfId="0" applyFont="1" applyFill="1" applyBorder="1" applyAlignment="1">
      <alignment vertical="top" wrapText="1" indent="1"/>
    </xf>
    <xf numFmtId="170" fontId="30" fillId="3" borderId="10" xfId="0" applyNumberFormat="1" applyFont="1" applyFill="1" applyBorder="1" applyAlignment="1">
      <alignment horizontal="center" vertical="top" wrapText="1"/>
    </xf>
    <xf numFmtId="0" fontId="31" fillId="3" borderId="10" xfId="0" applyFont="1" applyFill="1" applyBorder="1" applyAlignment="1">
      <alignment horizontal="left" vertical="top"/>
    </xf>
    <xf numFmtId="0" fontId="31" fillId="3" borderId="10" xfId="0" applyFont="1" applyFill="1" applyBorder="1" applyAlignment="1">
      <alignment horizontal="left" vertical="top" wrapText="1"/>
    </xf>
    <xf numFmtId="0" fontId="51" fillId="0" borderId="0" xfId="0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left"/>
      <protection locked="0"/>
    </xf>
    <xf numFmtId="49" fontId="27" fillId="0" borderId="0" xfId="0" applyNumberFormat="1" applyFont="1" applyAlignment="1" applyProtection="1">
      <alignment horizontal="center"/>
      <protection locked="0"/>
    </xf>
    <xf numFmtId="2" fontId="27" fillId="0" borderId="0" xfId="0" applyNumberFormat="1" applyFont="1" applyAlignment="1" applyProtection="1">
      <alignment horizontal="center"/>
      <protection locked="0"/>
    </xf>
    <xf numFmtId="171" fontId="15" fillId="2" borderId="24" xfId="0" applyNumberFormat="1" applyFont="1" applyFill="1" applyBorder="1" applyAlignment="1" applyProtection="1">
      <alignment horizontal="center" vertical="top"/>
      <protection locked="0"/>
    </xf>
    <xf numFmtId="0" fontId="0" fillId="2" borderId="3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32" fillId="3" borderId="0" xfId="0" applyFont="1" applyFill="1" applyBorder="1" applyAlignment="1">
      <alignment horizontal="center" vertical="top"/>
    </xf>
    <xf numFmtId="165" fontId="10" fillId="3" borderId="10" xfId="0" applyNumberFormat="1" applyFont="1" applyFill="1" applyBorder="1" applyAlignment="1">
      <alignment vertical="top"/>
    </xf>
    <xf numFmtId="2" fontId="10" fillId="3" borderId="10" xfId="0" applyNumberFormat="1" applyFont="1" applyFill="1" applyBorder="1" applyAlignment="1">
      <alignment horizontal="center" vertical="top"/>
    </xf>
    <xf numFmtId="0" fontId="29" fillId="3" borderId="10" xfId="0" applyFont="1" applyFill="1" applyBorder="1" applyAlignment="1">
      <alignment horizontal="left" vertical="top" wrapText="1"/>
    </xf>
    <xf numFmtId="0" fontId="41" fillId="0" borderId="0" xfId="0" applyFont="1" applyBorder="1" applyAlignment="1" applyProtection="1">
      <alignment horizontal="left"/>
      <protection locked="0"/>
    </xf>
    <xf numFmtId="175" fontId="39" fillId="0" borderId="0" xfId="1" applyNumberFormat="1" applyFont="1" applyBorder="1"/>
    <xf numFmtId="4" fontId="53" fillId="2" borderId="6" xfId="3" applyNumberFormat="1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/>
    <xf numFmtId="0" fontId="31" fillId="3" borderId="10" xfId="0" applyFont="1" applyFill="1" applyBorder="1" applyAlignment="1">
      <alignment vertical="top"/>
    </xf>
    <xf numFmtId="170" fontId="31" fillId="3" borderId="10" xfId="0" applyNumberFormat="1" applyFont="1" applyFill="1" applyBorder="1" applyAlignment="1">
      <alignment horizontal="center" vertical="top"/>
    </xf>
    <xf numFmtId="175" fontId="0" fillId="0" borderId="0" xfId="0" applyNumberFormat="1"/>
    <xf numFmtId="0" fontId="27" fillId="0" borderId="10" xfId="0" applyFont="1" applyBorder="1" applyAlignment="1" applyProtection="1">
      <alignment horizontal="center" vertical="top"/>
      <protection locked="0"/>
    </xf>
    <xf numFmtId="173" fontId="10" fillId="3" borderId="10" xfId="4" applyNumberFormat="1" applyFont="1" applyFill="1" applyBorder="1" applyAlignment="1" applyProtection="1">
      <alignment horizontal="center" vertical="top"/>
      <protection locked="0"/>
    </xf>
    <xf numFmtId="2" fontId="27" fillId="0" borderId="10" xfId="0" applyNumberFormat="1" applyFont="1" applyBorder="1" applyAlignment="1" applyProtection="1">
      <alignment horizontal="right" vertical="top"/>
      <protection locked="0"/>
    </xf>
    <xf numFmtId="173" fontId="27" fillId="0" borderId="10" xfId="4" applyNumberFormat="1" applyFont="1" applyBorder="1" applyAlignment="1" applyProtection="1">
      <alignment horizontal="center" vertical="top"/>
      <protection locked="0"/>
    </xf>
    <xf numFmtId="2" fontId="27" fillId="0" borderId="14" xfId="0" applyNumberFormat="1" applyFont="1" applyBorder="1" applyAlignment="1" applyProtection="1">
      <alignment horizontal="right" vertical="top"/>
      <protection locked="0"/>
    </xf>
    <xf numFmtId="0" fontId="58" fillId="0" borderId="10" xfId="0" applyFont="1" applyBorder="1" applyAlignment="1" applyProtection="1">
      <alignment horizontal="left" vertical="top"/>
      <protection locked="0"/>
    </xf>
    <xf numFmtId="0" fontId="35" fillId="3" borderId="13" xfId="0" applyFont="1" applyFill="1" applyBorder="1" applyAlignment="1">
      <alignment horizontal="center" vertical="top" wrapText="1"/>
    </xf>
    <xf numFmtId="2" fontId="27" fillId="0" borderId="10" xfId="0" applyNumberFormat="1" applyFont="1" applyBorder="1" applyAlignment="1" applyProtection="1">
      <alignment horizontal="left" vertical="top"/>
      <protection locked="0"/>
    </xf>
    <xf numFmtId="173" fontId="27" fillId="0" borderId="25" xfId="4" applyNumberFormat="1" applyFont="1" applyBorder="1" applyAlignment="1" applyProtection="1">
      <alignment horizontal="center" vertical="top"/>
      <protection locked="0"/>
    </xf>
    <xf numFmtId="2" fontId="27" fillId="0" borderId="15" xfId="0" applyNumberFormat="1" applyFont="1" applyBorder="1" applyAlignment="1" applyProtection="1">
      <alignment horizontal="right" vertical="top"/>
      <protection locked="0"/>
    </xf>
    <xf numFmtId="173" fontId="27" fillId="0" borderId="15" xfId="4" applyNumberFormat="1" applyFont="1" applyBorder="1" applyAlignment="1" applyProtection="1">
      <alignment horizontal="center" vertical="top"/>
      <protection locked="0"/>
    </xf>
    <xf numFmtId="0" fontId="59" fillId="0" borderId="0" xfId="7"/>
    <xf numFmtId="0" fontId="62" fillId="0" borderId="26" xfId="7" applyFont="1" applyBorder="1" applyAlignment="1">
      <alignment horizontal="center"/>
    </xf>
    <xf numFmtId="49" fontId="62" fillId="0" borderId="26" xfId="7" applyNumberFormat="1" applyFont="1" applyBorder="1" applyAlignment="1">
      <alignment horizontal="left"/>
    </xf>
    <xf numFmtId="0" fontId="62" fillId="0" borderId="26" xfId="7" applyFont="1" applyBorder="1"/>
    <xf numFmtId="0" fontId="59" fillId="0" borderId="26" xfId="7" applyBorder="1" applyAlignment="1">
      <alignment horizontal="center"/>
    </xf>
    <xf numFmtId="0" fontId="59" fillId="0" borderId="26" xfId="7" applyBorder="1"/>
    <xf numFmtId="0" fontId="63" fillId="0" borderId="0" xfId="7" applyFont="1"/>
    <xf numFmtId="0" fontId="0" fillId="0" borderId="26" xfId="7" applyFont="1" applyBorder="1" applyAlignment="1">
      <alignment horizontal="center"/>
    </xf>
    <xf numFmtId="49" fontId="64" fillId="0" borderId="26" xfId="7" applyNumberFormat="1" applyFont="1" applyBorder="1" applyAlignment="1">
      <alignment horizontal="left"/>
    </xf>
    <xf numFmtId="0" fontId="64" fillId="0" borderId="26" xfId="7" applyFont="1" applyBorder="1" applyAlignment="1">
      <alignment wrapText="1"/>
    </xf>
    <xf numFmtId="49" fontId="64" fillId="0" borderId="26" xfId="7" applyNumberFormat="1" applyFont="1" applyBorder="1" applyAlignment="1">
      <alignment horizontal="center" shrinkToFit="1"/>
    </xf>
    <xf numFmtId="0" fontId="59" fillId="0" borderId="27" xfId="7" applyBorder="1" applyAlignment="1">
      <alignment horizontal="center"/>
    </xf>
    <xf numFmtId="49" fontId="60" fillId="0" borderId="27" xfId="7" applyNumberFormat="1" applyFont="1" applyBorder="1" applyAlignment="1">
      <alignment horizontal="left"/>
    </xf>
    <xf numFmtId="0" fontId="60" fillId="0" borderId="27" xfId="7" applyFont="1" applyBorder="1"/>
    <xf numFmtId="3" fontId="59" fillId="0" borderId="0" xfId="7" applyNumberFormat="1"/>
    <xf numFmtId="0" fontId="61" fillId="0" borderId="26" xfId="7" applyFont="1" applyBorder="1" applyAlignment="1">
      <alignment horizontal="center"/>
    </xf>
    <xf numFmtId="49" fontId="61" fillId="0" borderId="26" xfId="7" applyNumberFormat="1" applyFont="1" applyBorder="1" applyAlignment="1">
      <alignment horizontal="left"/>
    </xf>
    <xf numFmtId="0" fontId="65" fillId="0" borderId="28" xfId="7" applyFont="1" applyBorder="1" applyAlignment="1">
      <alignment horizontal="left" wrapText="1"/>
    </xf>
    <xf numFmtId="0" fontId="66" fillId="0" borderId="0" xfId="7" applyFont="1"/>
    <xf numFmtId="0" fontId="67" fillId="0" borderId="0" xfId="7" applyFont="1"/>
    <xf numFmtId="4" fontId="67" fillId="0" borderId="0" xfId="7" applyNumberFormat="1" applyFont="1"/>
    <xf numFmtId="0" fontId="2" fillId="2" borderId="17" xfId="2" applyFill="1" applyBorder="1" applyProtection="1">
      <protection locked="0"/>
    </xf>
    <xf numFmtId="49" fontId="68" fillId="2" borderId="29" xfId="7" applyNumberFormat="1" applyFont="1" applyFill="1" applyBorder="1"/>
    <xf numFmtId="0" fontId="68" fillId="2" borderId="30" xfId="7" applyFont="1" applyFill="1" applyBorder="1" applyAlignment="1">
      <alignment horizontal="center"/>
    </xf>
    <xf numFmtId="0" fontId="68" fillId="2" borderId="31" xfId="7" applyFont="1" applyFill="1" applyBorder="1" applyAlignment="1">
      <alignment horizontal="center"/>
    </xf>
    <xf numFmtId="0" fontId="61" fillId="0" borderId="32" xfId="7" applyFont="1" applyBorder="1"/>
    <xf numFmtId="0" fontId="0" fillId="0" borderId="32" xfId="7" applyFont="1" applyBorder="1"/>
    <xf numFmtId="0" fontId="59" fillId="0" borderId="32" xfId="7" applyBorder="1"/>
    <xf numFmtId="0" fontId="69" fillId="0" borderId="0" xfId="7" applyFont="1"/>
    <xf numFmtId="0" fontId="53" fillId="0" borderId="0" xfId="7" applyFont="1"/>
    <xf numFmtId="0" fontId="69" fillId="0" borderId="0" xfId="7" applyFont="1" applyAlignment="1">
      <alignment horizontal="center"/>
    </xf>
    <xf numFmtId="0" fontId="59" fillId="0" borderId="0" xfId="7" applyAlignment="1">
      <alignment vertical="center"/>
    </xf>
    <xf numFmtId="0" fontId="59" fillId="2" borderId="19" xfId="7" applyFill="1" applyBorder="1" applyAlignment="1">
      <alignment vertical="center"/>
    </xf>
    <xf numFmtId="0" fontId="53" fillId="2" borderId="20" xfId="7" applyFont="1" applyFill="1" applyBorder="1" applyAlignment="1">
      <alignment vertical="center"/>
    </xf>
    <xf numFmtId="0" fontId="59" fillId="2" borderId="20" xfId="7" applyFill="1" applyBorder="1" applyAlignment="1">
      <alignment vertical="center"/>
    </xf>
    <xf numFmtId="166" fontId="53" fillId="2" borderId="21" xfId="1" applyNumberFormat="1" applyFont="1" applyFill="1" applyBorder="1" applyAlignment="1">
      <alignment horizontal="center" vertical="center"/>
    </xf>
    <xf numFmtId="166" fontId="64" fillId="0" borderId="26" xfId="1" applyNumberFormat="1" applyFont="1" applyBorder="1"/>
    <xf numFmtId="166" fontId="62" fillId="0" borderId="27" xfId="1" applyNumberFormat="1" applyFont="1" applyBorder="1"/>
    <xf numFmtId="166" fontId="59" fillId="0" borderId="26" xfId="1" applyNumberFormat="1" applyFont="1" applyBorder="1"/>
    <xf numFmtId="166" fontId="65" fillId="0" borderId="26" xfId="1" applyNumberFormat="1" applyFont="1" applyBorder="1" applyAlignment="1">
      <alignment horizontal="right"/>
    </xf>
    <xf numFmtId="166" fontId="59" fillId="0" borderId="0" xfId="1" applyNumberFormat="1" applyFont="1"/>
    <xf numFmtId="166" fontId="10" fillId="2" borderId="2" xfId="1" applyNumberFormat="1" applyFont="1" applyFill="1" applyBorder="1" applyAlignment="1" applyProtection="1">
      <alignment horizontal="center"/>
      <protection locked="0"/>
    </xf>
    <xf numFmtId="166" fontId="0" fillId="2" borderId="5" xfId="1" applyNumberFormat="1" applyFont="1" applyFill="1" applyBorder="1" applyAlignment="1" applyProtection="1">
      <alignment horizontal="center"/>
      <protection locked="0"/>
    </xf>
    <xf numFmtId="0" fontId="59" fillId="0" borderId="32" xfId="7" applyBorder="1" applyAlignment="1">
      <alignment horizontal="center"/>
    </xf>
    <xf numFmtId="4" fontId="64" fillId="0" borderId="26" xfId="7" applyNumberFormat="1" applyFont="1" applyBorder="1" applyAlignment="1">
      <alignment horizontal="center"/>
    </xf>
    <xf numFmtId="4" fontId="59" fillId="0" borderId="27" xfId="7" applyNumberFormat="1" applyBorder="1" applyAlignment="1">
      <alignment horizontal="center"/>
    </xf>
    <xf numFmtId="4" fontId="65" fillId="0" borderId="26" xfId="7" applyNumberFormat="1" applyFont="1" applyBorder="1" applyAlignment="1">
      <alignment horizontal="center" wrapText="1"/>
    </xf>
    <xf numFmtId="0" fontId="65" fillId="0" borderId="26" xfId="7" applyFont="1" applyBorder="1" applyAlignment="1">
      <alignment horizontal="center" wrapText="1"/>
    </xf>
    <xf numFmtId="0" fontId="59" fillId="0" borderId="0" xfId="7" applyAlignment="1">
      <alignment horizontal="center"/>
    </xf>
    <xf numFmtId="0" fontId="59" fillId="2" borderId="20" xfId="7" applyFill="1" applyBorder="1" applyAlignment="1">
      <alignment horizontal="center" vertical="center"/>
    </xf>
    <xf numFmtId="3" fontId="67" fillId="0" borderId="0" xfId="7" applyNumberFormat="1" applyFont="1" applyAlignment="1">
      <alignment horizontal="center"/>
    </xf>
    <xf numFmtId="0" fontId="67" fillId="0" borderId="0" xfId="7" applyFont="1" applyAlignment="1">
      <alignment horizontal="center"/>
    </xf>
    <xf numFmtId="166" fontId="70" fillId="0" borderId="0" xfId="1" applyNumberFormat="1" applyFont="1" applyAlignment="1">
      <alignment horizontal="center"/>
    </xf>
    <xf numFmtId="2" fontId="8" fillId="2" borderId="2" xfId="3" applyNumberFormat="1" applyFont="1" applyFill="1" applyBorder="1" applyAlignment="1" applyProtection="1">
      <alignment horizontal="left" vertical="center"/>
      <protection locked="0"/>
    </xf>
    <xf numFmtId="0" fontId="35" fillId="3" borderId="10" xfId="0" applyFont="1" applyFill="1" applyBorder="1" applyAlignment="1">
      <alignment horizontal="center" wrapText="1"/>
    </xf>
    <xf numFmtId="49" fontId="14" fillId="2" borderId="33" xfId="0" applyNumberFormat="1" applyFont="1" applyFill="1" applyBorder="1" applyAlignment="1" applyProtection="1">
      <alignment horizontal="center" vertical="center"/>
      <protection locked="0"/>
    </xf>
    <xf numFmtId="0" fontId="14" fillId="2" borderId="33" xfId="0" applyFont="1" applyFill="1" applyBorder="1" applyAlignment="1" applyProtection="1">
      <alignment horizontal="center" vertical="center"/>
      <protection locked="0"/>
    </xf>
    <xf numFmtId="2" fontId="14" fillId="2" borderId="33" xfId="0" applyNumberFormat="1" applyFont="1" applyFill="1" applyBorder="1" applyAlignment="1" applyProtection="1">
      <alignment horizontal="center" vertical="center"/>
      <protection locked="0"/>
    </xf>
    <xf numFmtId="165" fontId="14" fillId="2" borderId="33" xfId="0" applyNumberFormat="1" applyFont="1" applyFill="1" applyBorder="1" applyAlignment="1" applyProtection="1">
      <alignment horizontal="center" vertical="center"/>
      <protection locked="0"/>
    </xf>
    <xf numFmtId="166" fontId="14" fillId="2" borderId="33" xfId="1" applyNumberFormat="1" applyFont="1" applyFill="1" applyBorder="1" applyAlignment="1" applyProtection="1">
      <alignment horizontal="center" vertical="center"/>
      <protection locked="0"/>
    </xf>
    <xf numFmtId="171" fontId="15" fillId="2" borderId="33" xfId="0" applyNumberFormat="1" applyFont="1" applyFill="1" applyBorder="1" applyAlignment="1" applyProtection="1">
      <alignment horizontal="center" vertical="top"/>
      <protection locked="0"/>
    </xf>
    <xf numFmtId="172" fontId="15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2" borderId="33" xfId="0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Alignment="1" applyProtection="1">
      <alignment horizontal="left"/>
      <protection locked="0"/>
    </xf>
    <xf numFmtId="0" fontId="24" fillId="3" borderId="10" xfId="0" applyFont="1" applyFill="1" applyBorder="1" applyAlignment="1">
      <alignment horizontal="center" vertical="top"/>
    </xf>
    <xf numFmtId="0" fontId="10" fillId="3" borderId="10" xfId="9" applyFont="1" applyFill="1" applyBorder="1" applyAlignment="1">
      <alignment vertical="top"/>
    </xf>
    <xf numFmtId="0" fontId="10" fillId="3" borderId="10" xfId="9" applyFont="1" applyFill="1" applyBorder="1" applyAlignment="1">
      <alignment horizontal="center" vertical="top"/>
    </xf>
    <xf numFmtId="165" fontId="10" fillId="3" borderId="10" xfId="9" applyNumberFormat="1" applyFont="1" applyFill="1" applyBorder="1" applyAlignment="1">
      <alignment horizontal="center" vertical="top"/>
    </xf>
    <xf numFmtId="3" fontId="10" fillId="3" borderId="10" xfId="9" applyNumberFormat="1" applyFont="1" applyFill="1" applyBorder="1" applyAlignment="1" applyProtection="1">
      <alignment horizontal="center" vertical="top"/>
      <protection locked="0"/>
    </xf>
    <xf numFmtId="0" fontId="10" fillId="3" borderId="10" xfId="9" applyFont="1" applyFill="1" applyBorder="1" applyAlignment="1">
      <alignment vertical="top" wrapText="1"/>
    </xf>
    <xf numFmtId="170" fontId="10" fillId="3" borderId="10" xfId="9" applyNumberFormat="1" applyFont="1" applyFill="1" applyBorder="1" applyAlignment="1">
      <alignment horizontal="center" vertical="top"/>
    </xf>
    <xf numFmtId="0" fontId="2" fillId="0" borderId="10" xfId="9" applyBorder="1" applyAlignment="1">
      <alignment vertical="top" wrapText="1"/>
    </xf>
    <xf numFmtId="0" fontId="30" fillId="4" borderId="10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/>
    </xf>
    <xf numFmtId="1" fontId="10" fillId="0" borderId="10" xfId="0" applyNumberFormat="1" applyFont="1" applyBorder="1" applyAlignment="1">
      <alignment horizontal="center" vertical="top"/>
    </xf>
    <xf numFmtId="170" fontId="10" fillId="0" borderId="10" xfId="0" applyNumberFormat="1" applyFont="1" applyBorder="1" applyAlignment="1">
      <alignment horizontal="center" vertical="top"/>
    </xf>
    <xf numFmtId="0" fontId="47" fillId="3" borderId="23" xfId="0" applyFont="1" applyFill="1" applyBorder="1" applyAlignment="1">
      <alignment horizontal="left" vertical="center" wrapText="1"/>
    </xf>
    <xf numFmtId="0" fontId="27" fillId="3" borderId="10" xfId="0" applyFont="1" applyFill="1" applyBorder="1" applyAlignment="1">
      <alignment horizontal="right" vertical="top" wrapText="1"/>
    </xf>
    <xf numFmtId="173" fontId="27" fillId="3" borderId="10" xfId="4" applyNumberFormat="1" applyFont="1" applyFill="1" applyBorder="1" applyAlignment="1">
      <alignment horizontal="center" vertical="top"/>
    </xf>
    <xf numFmtId="173" fontId="31" fillId="3" borderId="10" xfId="0" applyNumberFormat="1" applyFont="1" applyFill="1" applyBorder="1" applyAlignment="1">
      <alignment horizontal="center" vertical="top"/>
    </xf>
    <xf numFmtId="43" fontId="10" fillId="3" borderId="0" xfId="4" applyFont="1" applyFill="1" applyBorder="1" applyAlignment="1">
      <alignment horizontal="right" vertical="top" indent="1"/>
    </xf>
    <xf numFmtId="2" fontId="57" fillId="4" borderId="10" xfId="0" applyNumberFormat="1" applyFont="1" applyFill="1" applyBorder="1" applyAlignment="1">
      <alignment horizontal="center" vertical="top"/>
    </xf>
    <xf numFmtId="0" fontId="71" fillId="0" borderId="0" xfId="0" applyFont="1" applyAlignment="1" applyProtection="1">
      <alignment horizontal="right"/>
      <protection locked="0"/>
    </xf>
    <xf numFmtId="0" fontId="73" fillId="0" borderId="0" xfId="0" applyFont="1" applyAlignment="1">
      <alignment horizontal="center"/>
    </xf>
    <xf numFmtId="2" fontId="73" fillId="0" borderId="0" xfId="0" applyNumberFormat="1" applyFont="1" applyAlignment="1">
      <alignment horizontal="center"/>
    </xf>
    <xf numFmtId="0" fontId="48" fillId="3" borderId="0" xfId="0" applyFont="1" applyFill="1"/>
    <xf numFmtId="166" fontId="71" fillId="3" borderId="0" xfId="1" applyNumberFormat="1" applyFont="1" applyFill="1" applyProtection="1">
      <protection locked="0"/>
    </xf>
    <xf numFmtId="0" fontId="74" fillId="0" borderId="0" xfId="0" applyFont="1"/>
    <xf numFmtId="166" fontId="71" fillId="0" borderId="0" xfId="1" applyNumberFormat="1" applyFont="1" applyProtection="1">
      <protection locked="0"/>
    </xf>
    <xf numFmtId="0" fontId="75" fillId="0" borderId="0" xfId="0" applyFont="1" applyAlignment="1">
      <alignment horizontal="left"/>
    </xf>
    <xf numFmtId="0" fontId="10" fillId="4" borderId="10" xfId="0" applyFont="1" applyFill="1" applyBorder="1" applyAlignment="1">
      <alignment horizontal="right" vertical="top" wrapText="1" indent="1"/>
    </xf>
    <xf numFmtId="0" fontId="27" fillId="4" borderId="10" xfId="0" applyFont="1" applyFill="1" applyBorder="1" applyAlignment="1">
      <alignment horizontal="left" vertical="top" wrapText="1"/>
    </xf>
    <xf numFmtId="0" fontId="10" fillId="4" borderId="0" xfId="0" applyFont="1" applyFill="1" applyBorder="1" applyAlignment="1">
      <alignment horizontal="left"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0" xfId="0" applyFont="1" applyFill="1" applyBorder="1" applyAlignment="1">
      <alignment horizontal="center" vertical="top" wrapText="1"/>
    </xf>
    <xf numFmtId="177" fontId="57" fillId="3" borderId="0" xfId="4" applyNumberFormat="1" applyFont="1" applyFill="1" applyBorder="1" applyAlignment="1">
      <alignment horizontal="center" vertical="top"/>
    </xf>
    <xf numFmtId="166" fontId="10" fillId="3" borderId="0" xfId="1" applyNumberFormat="1" applyFont="1" applyFill="1" applyBorder="1" applyAlignment="1">
      <alignment vertical="top"/>
    </xf>
    <xf numFmtId="167" fontId="25" fillId="0" borderId="0" xfId="0" applyNumberFormat="1" applyFont="1" applyBorder="1" applyAlignment="1" applyProtection="1">
      <alignment horizontal="center" vertical="top"/>
      <protection locked="0"/>
    </xf>
    <xf numFmtId="171" fontId="10" fillId="3" borderId="0" xfId="0" applyNumberFormat="1" applyFont="1" applyFill="1" applyBorder="1" applyAlignment="1">
      <alignment horizontal="center" vertical="top"/>
    </xf>
    <xf numFmtId="172" fontId="10" fillId="3" borderId="0" xfId="0" applyNumberFormat="1" applyFont="1" applyFill="1" applyBorder="1" applyAlignment="1">
      <alignment horizontal="center" vertical="top"/>
    </xf>
    <xf numFmtId="166" fontId="45" fillId="0" borderId="0" xfId="1" applyNumberFormat="1" applyFont="1" applyProtection="1">
      <protection locked="0"/>
    </xf>
    <xf numFmtId="0" fontId="78" fillId="0" borderId="0" xfId="0" applyFont="1"/>
    <xf numFmtId="0" fontId="78" fillId="0" borderId="0" xfId="0" applyFont="1" applyAlignment="1">
      <alignment horizontal="center"/>
    </xf>
    <xf numFmtId="2" fontId="57" fillId="3" borderId="10" xfId="0" applyNumberFormat="1" applyFont="1" applyFill="1" applyBorder="1" applyAlignment="1">
      <alignment horizontal="center" vertical="top"/>
    </xf>
    <xf numFmtId="0" fontId="27" fillId="0" borderId="10" xfId="0" applyFont="1" applyBorder="1" applyAlignment="1">
      <alignment vertical="top"/>
    </xf>
    <xf numFmtId="0" fontId="27" fillId="3" borderId="10" xfId="9" applyFont="1" applyFill="1" applyBorder="1" applyAlignment="1">
      <alignment horizontal="center" vertical="top"/>
    </xf>
    <xf numFmtId="2" fontId="27" fillId="0" borderId="10" xfId="0" applyNumberFormat="1" applyFont="1" applyBorder="1" applyAlignment="1">
      <alignment horizontal="center" vertical="top"/>
    </xf>
    <xf numFmtId="166" fontId="10" fillId="3" borderId="10" xfId="1" applyNumberFormat="1" applyFont="1" applyFill="1" applyBorder="1"/>
    <xf numFmtId="171" fontId="10" fillId="3" borderId="13" xfId="0" applyNumberFormat="1" applyFont="1" applyFill="1" applyBorder="1" applyAlignment="1">
      <alignment horizontal="center" vertical="top"/>
    </xf>
    <xf numFmtId="0" fontId="58" fillId="3" borderId="10" xfId="0" applyFont="1" applyFill="1" applyBorder="1" applyAlignment="1">
      <alignment vertical="top" wrapText="1" indent="1"/>
    </xf>
    <xf numFmtId="0" fontId="27" fillId="3" borderId="10" xfId="0" applyFont="1" applyFill="1" applyBorder="1" applyAlignment="1">
      <alignment vertical="top" wrapText="1"/>
    </xf>
    <xf numFmtId="0" fontId="27" fillId="3" borderId="15" xfId="9" applyFont="1" applyFill="1" applyBorder="1" applyAlignment="1">
      <alignment horizontal="center" vertical="top"/>
    </xf>
    <xf numFmtId="2" fontId="27" fillId="3" borderId="15" xfId="0" applyNumberFormat="1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vertical="top" wrapText="1" indent="1"/>
    </xf>
    <xf numFmtId="0" fontId="29" fillId="3" borderId="10" xfId="0" applyFont="1" applyFill="1" applyBorder="1" applyAlignment="1">
      <alignment horizontal="right" vertical="top" wrapText="1" indent="1"/>
    </xf>
    <xf numFmtId="0" fontId="29" fillId="3" borderId="13" xfId="9" applyFont="1" applyFill="1" applyBorder="1" applyAlignment="1">
      <alignment horizontal="center" vertical="top"/>
    </xf>
    <xf numFmtId="2" fontId="29" fillId="3" borderId="13" xfId="0" applyNumberFormat="1" applyFont="1" applyFill="1" applyBorder="1" applyAlignment="1">
      <alignment horizontal="center" vertical="top"/>
    </xf>
    <xf numFmtId="0" fontId="27" fillId="3" borderId="10" xfId="0" applyFont="1" applyFill="1" applyBorder="1" applyAlignment="1">
      <alignment horizontal="right" vertical="top" wrapText="1" indent="1"/>
    </xf>
    <xf numFmtId="2" fontId="27" fillId="0" borderId="10" xfId="0" applyNumberFormat="1" applyFont="1" applyBorder="1" applyAlignment="1">
      <alignment vertical="top"/>
    </xf>
    <xf numFmtId="0" fontId="48" fillId="3" borderId="10" xfId="0" applyFont="1" applyFill="1" applyBorder="1" applyAlignment="1">
      <alignment horizontal="center" vertical="top"/>
    </xf>
    <xf numFmtId="0" fontId="48" fillId="3" borderId="10" xfId="0" applyFont="1" applyFill="1" applyBorder="1" applyAlignment="1">
      <alignment horizontal="left" vertical="top"/>
    </xf>
    <xf numFmtId="0" fontId="48" fillId="3" borderId="10" xfId="9" applyFont="1" applyFill="1" applyBorder="1" applyAlignment="1">
      <alignment horizontal="center" vertical="top"/>
    </xf>
    <xf numFmtId="165" fontId="48" fillId="3" borderId="10" xfId="0" applyNumberFormat="1" applyFont="1" applyFill="1" applyBorder="1" applyAlignment="1">
      <alignment horizontal="center" vertical="top"/>
    </xf>
    <xf numFmtId="166" fontId="48" fillId="3" borderId="10" xfId="1" applyNumberFormat="1" applyFont="1" applyFill="1" applyBorder="1" applyAlignment="1" applyProtection="1">
      <alignment horizontal="right" vertical="top"/>
      <protection locked="0"/>
    </xf>
    <xf numFmtId="3" fontId="48" fillId="3" borderId="10" xfId="9" applyNumberFormat="1" applyFont="1" applyFill="1" applyBorder="1" applyAlignment="1" applyProtection="1">
      <alignment horizontal="center" vertical="top"/>
      <protection locked="0"/>
    </xf>
    <xf numFmtId="2" fontId="27" fillId="0" borderId="15" xfId="0" applyNumberFormat="1" applyFont="1" applyBorder="1" applyAlignment="1">
      <alignment horizontal="center" vertical="top"/>
    </xf>
    <xf numFmtId="0" fontId="27" fillId="0" borderId="10" xfId="0" applyFont="1" applyBorder="1" applyAlignment="1">
      <alignment horizontal="right" vertical="top"/>
    </xf>
    <xf numFmtId="0" fontId="27" fillId="3" borderId="13" xfId="9" applyFont="1" applyFill="1" applyBorder="1" applyAlignment="1">
      <alignment horizontal="center" vertical="top"/>
    </xf>
    <xf numFmtId="2" fontId="27" fillId="0" borderId="13" xfId="0" applyNumberFormat="1" applyFont="1" applyBorder="1" applyAlignment="1">
      <alignment horizontal="center" vertical="top"/>
    </xf>
    <xf numFmtId="0" fontId="29" fillId="3" borderId="10" xfId="9" applyFont="1" applyFill="1" applyBorder="1" applyAlignment="1">
      <alignment horizontal="center" vertical="top"/>
    </xf>
    <xf numFmtId="2" fontId="29" fillId="0" borderId="10" xfId="0" applyNumberFormat="1" applyFont="1" applyBorder="1" applyAlignment="1">
      <alignment horizontal="center" vertical="top"/>
    </xf>
    <xf numFmtId="0" fontId="48" fillId="3" borderId="10" xfId="9" applyFont="1" applyFill="1" applyBorder="1" applyAlignment="1">
      <alignment vertical="top"/>
    </xf>
    <xf numFmtId="2" fontId="48" fillId="3" borderId="10" xfId="9" applyNumberFormat="1" applyFont="1" applyFill="1" applyBorder="1" applyAlignment="1">
      <alignment horizontal="center" vertical="top"/>
    </xf>
    <xf numFmtId="165" fontId="48" fillId="3" borderId="10" xfId="9" applyNumberFormat="1" applyFont="1" applyFill="1" applyBorder="1" applyAlignment="1">
      <alignment horizontal="center" vertical="top"/>
    </xf>
    <xf numFmtId="2" fontId="31" fillId="0" borderId="0" xfId="0" applyNumberFormat="1" applyFont="1" applyAlignment="1">
      <alignment horizontal="center" vertical="top"/>
    </xf>
    <xf numFmtId="2" fontId="10" fillId="3" borderId="10" xfId="9" applyNumberFormat="1" applyFont="1" applyFill="1" applyBorder="1" applyAlignment="1">
      <alignment horizontal="center" vertical="top"/>
    </xf>
    <xf numFmtId="170" fontId="10" fillId="4" borderId="10" xfId="0" applyNumberFormat="1" applyFont="1" applyFill="1" applyBorder="1" applyAlignment="1">
      <alignment horizontal="center" vertical="top"/>
    </xf>
    <xf numFmtId="170" fontId="48" fillId="3" borderId="10" xfId="9" applyNumberFormat="1" applyFont="1" applyFill="1" applyBorder="1" applyAlignment="1">
      <alignment horizontal="center" vertical="top"/>
    </xf>
    <xf numFmtId="0" fontId="24" fillId="3" borderId="0" xfId="0" applyFont="1" applyFill="1" applyAlignment="1">
      <alignment horizontal="center" vertical="top"/>
    </xf>
    <xf numFmtId="0" fontId="10" fillId="3" borderId="0" xfId="0" applyFont="1" applyFill="1" applyAlignment="1">
      <alignment horizontal="center" vertical="top"/>
    </xf>
    <xf numFmtId="0" fontId="10" fillId="3" borderId="0" xfId="9" applyFont="1" applyFill="1" applyAlignment="1">
      <alignment vertical="top"/>
    </xf>
    <xf numFmtId="0" fontId="10" fillId="3" borderId="0" xfId="9" applyFont="1" applyFill="1" applyAlignment="1">
      <alignment horizontal="center" vertical="top"/>
    </xf>
    <xf numFmtId="165" fontId="10" fillId="3" borderId="0" xfId="9" applyNumberFormat="1" applyFont="1" applyFill="1" applyAlignment="1">
      <alignment horizontal="center" vertical="top"/>
    </xf>
    <xf numFmtId="166" fontId="10" fillId="3" borderId="0" xfId="1" applyNumberFormat="1" applyFont="1" applyFill="1" applyBorder="1" applyAlignment="1" applyProtection="1">
      <alignment horizontal="right" vertical="top"/>
      <protection locked="0"/>
    </xf>
    <xf numFmtId="3" fontId="10" fillId="3" borderId="0" xfId="9" applyNumberFormat="1" applyFont="1" applyFill="1" applyAlignment="1" applyProtection="1">
      <alignment horizontal="center" vertical="top"/>
      <protection locked="0"/>
    </xf>
    <xf numFmtId="171" fontId="9" fillId="0" borderId="0" xfId="0" applyNumberFormat="1" applyFont="1" applyAlignment="1" applyProtection="1">
      <alignment horizontal="center" vertical="top"/>
      <protection locked="0"/>
    </xf>
    <xf numFmtId="172" fontId="22" fillId="0" borderId="0" xfId="0" applyNumberFormat="1" applyFont="1" applyAlignment="1" applyProtection="1">
      <alignment horizontal="center" vertical="top"/>
      <protection locked="0"/>
    </xf>
    <xf numFmtId="2" fontId="10" fillId="4" borderId="10" xfId="0" applyNumberFormat="1" applyFont="1" applyFill="1" applyBorder="1" applyAlignment="1">
      <alignment horizontal="right" vertical="top" indent="1"/>
    </xf>
    <xf numFmtId="2" fontId="10" fillId="3" borderId="10" xfId="0" applyNumberFormat="1" applyFont="1" applyFill="1" applyBorder="1" applyAlignment="1">
      <alignment horizontal="right" vertical="top" indent="1"/>
    </xf>
    <xf numFmtId="0" fontId="2" fillId="3" borderId="10" xfId="0" applyFont="1" applyFill="1" applyBorder="1" applyAlignment="1">
      <alignment vertical="top"/>
    </xf>
    <xf numFmtId="0" fontId="2" fillId="3" borderId="10" xfId="0" applyFont="1" applyFill="1" applyBorder="1" applyAlignment="1">
      <alignment horizontal="center" vertical="top"/>
    </xf>
    <xf numFmtId="2" fontId="2" fillId="3" borderId="10" xfId="0" applyNumberFormat="1" applyFont="1" applyFill="1" applyBorder="1" applyAlignment="1">
      <alignment horizontal="center" vertical="top"/>
    </xf>
    <xf numFmtId="0" fontId="79" fillId="3" borderId="10" xfId="0" applyFont="1" applyFill="1" applyBorder="1" applyAlignment="1">
      <alignment vertical="top"/>
    </xf>
    <xf numFmtId="0" fontId="79" fillId="3" borderId="10" xfId="0" applyFont="1" applyFill="1" applyBorder="1" applyAlignment="1">
      <alignment horizontal="center" vertical="top"/>
    </xf>
    <xf numFmtId="2" fontId="79" fillId="3" borderId="10" xfId="0" applyNumberFormat="1" applyFont="1" applyFill="1" applyBorder="1" applyAlignment="1">
      <alignment horizontal="center" vertical="top"/>
    </xf>
    <xf numFmtId="0" fontId="2" fillId="0" borderId="0" xfId="0" applyFont="1"/>
    <xf numFmtId="0" fontId="40" fillId="0" borderId="0" xfId="0" applyFont="1"/>
    <xf numFmtId="166" fontId="39" fillId="0" borderId="0" xfId="1" applyNumberFormat="1" applyFont="1"/>
    <xf numFmtId="166" fontId="39" fillId="0" borderId="5" xfId="1" applyNumberFormat="1" applyFont="1" applyBorder="1"/>
    <xf numFmtId="166" fontId="40" fillId="0" borderId="0" xfId="1" applyNumberFormat="1" applyFont="1"/>
    <xf numFmtId="0" fontId="10" fillId="4" borderId="34" xfId="0" applyFont="1" applyFill="1" applyBorder="1" applyAlignment="1">
      <alignment horizontal="left" vertical="top" wrapText="1"/>
    </xf>
    <xf numFmtId="0" fontId="10" fillId="4" borderId="34" xfId="0" applyFont="1" applyFill="1" applyBorder="1" applyAlignment="1">
      <alignment horizontal="right" vertical="top" wrapText="1" indent="1"/>
    </xf>
    <xf numFmtId="0" fontId="27" fillId="4" borderId="34" xfId="0" applyFont="1" applyFill="1" applyBorder="1" applyAlignment="1">
      <alignment horizontal="left" vertical="top" wrapText="1"/>
    </xf>
    <xf numFmtId="0" fontId="27" fillId="4" borderId="34" xfId="0" applyFont="1" applyFill="1" applyBorder="1" applyAlignment="1">
      <alignment horizontal="right" vertical="top" wrapText="1" indent="1"/>
    </xf>
    <xf numFmtId="2" fontId="27" fillId="4" borderId="10" xfId="0" applyNumberFormat="1" applyFont="1" applyFill="1" applyBorder="1" applyAlignment="1">
      <alignment horizontal="center" vertical="top"/>
    </xf>
    <xf numFmtId="0" fontId="10" fillId="3" borderId="34" xfId="0" applyFont="1" applyFill="1" applyBorder="1" applyAlignment="1">
      <alignment horizontal="left" vertical="top" wrapText="1"/>
    </xf>
    <xf numFmtId="0" fontId="10" fillId="3" borderId="34" xfId="0" applyFont="1" applyFill="1" applyBorder="1" applyAlignment="1">
      <alignment horizontal="right" vertical="top" wrapText="1" indent="1"/>
    </xf>
    <xf numFmtId="0" fontId="30" fillId="4" borderId="0" xfId="0" applyFont="1" applyFill="1" applyBorder="1" applyAlignment="1">
      <alignment horizontal="center" vertical="top" wrapText="1"/>
    </xf>
    <xf numFmtId="170" fontId="30" fillId="4" borderId="0" xfId="0" applyNumberFormat="1" applyFont="1" applyFill="1" applyBorder="1" applyAlignment="1">
      <alignment horizontal="center" vertical="top" wrapText="1"/>
    </xf>
    <xf numFmtId="171" fontId="10" fillId="0" borderId="0" xfId="0" applyNumberFormat="1" applyFont="1" applyBorder="1" applyAlignment="1">
      <alignment horizontal="center" vertical="top"/>
    </xf>
    <xf numFmtId="172" fontId="10" fillId="0" borderId="0" xfId="0" applyNumberFormat="1" applyFont="1" applyBorder="1" applyAlignment="1">
      <alignment horizontal="center" vertical="top"/>
    </xf>
    <xf numFmtId="0" fontId="0" fillId="0" borderId="0" xfId="0" applyBorder="1"/>
    <xf numFmtId="165" fontId="22" fillId="0" borderId="0" xfId="0" applyNumberFormat="1" applyFont="1" applyBorder="1" applyAlignment="1" applyProtection="1">
      <alignment horizontal="center" vertical="top"/>
      <protection locked="0"/>
    </xf>
    <xf numFmtId="177" fontId="10" fillId="3" borderId="10" xfId="4" applyNumberFormat="1" applyFont="1" applyFill="1" applyBorder="1" applyAlignment="1">
      <alignment horizontal="center" vertical="top"/>
    </xf>
    <xf numFmtId="0" fontId="32" fillId="3" borderId="10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horizontal="center" vertical="center" wrapText="1"/>
    </xf>
    <xf numFmtId="173" fontId="10" fillId="3" borderId="10" xfId="4" applyNumberFormat="1" applyFont="1" applyFill="1" applyBorder="1" applyAlignment="1">
      <alignment horizontal="center" vertical="center"/>
    </xf>
    <xf numFmtId="165" fontId="10" fillId="3" borderId="10" xfId="0" applyNumberFormat="1" applyFont="1" applyFill="1" applyBorder="1" applyAlignment="1">
      <alignment horizontal="center" vertical="center"/>
    </xf>
    <xf numFmtId="166" fontId="10" fillId="3" borderId="10" xfId="1" applyNumberFormat="1" applyFont="1" applyFill="1" applyBorder="1" applyAlignment="1">
      <alignment vertical="center"/>
    </xf>
    <xf numFmtId="0" fontId="10" fillId="3" borderId="10" xfId="0" applyFont="1" applyFill="1" applyBorder="1" applyAlignment="1">
      <alignment horizontal="center" vertical="center"/>
    </xf>
    <xf numFmtId="172" fontId="10" fillId="0" borderId="10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165" fontId="22" fillId="0" borderId="10" xfId="0" applyNumberFormat="1" applyFont="1" applyBorder="1" applyAlignment="1" applyProtection="1">
      <alignment horizontal="center" vertical="center"/>
      <protection locked="0"/>
    </xf>
    <xf numFmtId="165" fontId="22" fillId="0" borderId="0" xfId="0" applyNumberFormat="1" applyFont="1" applyAlignment="1" applyProtection="1">
      <alignment horizontal="center" vertical="center"/>
      <protection locked="0"/>
    </xf>
    <xf numFmtId="0" fontId="80" fillId="3" borderId="10" xfId="0" applyFont="1" applyFill="1" applyBorder="1" applyAlignment="1">
      <alignment horizontal="left" vertical="top" wrapText="1"/>
    </xf>
    <xf numFmtId="171" fontId="10" fillId="2" borderId="2" xfId="0" applyNumberFormat="1" applyFont="1" applyFill="1" applyBorder="1" applyAlignment="1" applyProtection="1">
      <alignment horizontal="center" vertical="top"/>
      <protection locked="0"/>
    </xf>
    <xf numFmtId="171" fontId="10" fillId="2" borderId="5" xfId="0" applyNumberFormat="1" applyFont="1" applyFill="1" applyBorder="1" applyAlignment="1" applyProtection="1">
      <alignment horizontal="center" vertical="top"/>
      <protection locked="0"/>
    </xf>
    <xf numFmtId="171" fontId="18" fillId="0" borderId="0" xfId="0" applyNumberFormat="1" applyFont="1" applyAlignment="1" applyProtection="1">
      <alignment horizontal="center" vertical="top"/>
      <protection locked="0"/>
    </xf>
    <xf numFmtId="171" fontId="10" fillId="0" borderId="13" xfId="0" applyNumberFormat="1" applyFont="1" applyBorder="1" applyAlignment="1" applyProtection="1">
      <alignment horizontal="center" vertical="top"/>
      <protection locked="0"/>
    </xf>
    <xf numFmtId="171" fontId="10" fillId="0" borderId="14" xfId="0" applyNumberFormat="1" applyFont="1" applyBorder="1" applyAlignment="1" applyProtection="1">
      <alignment horizontal="center" vertical="top"/>
      <protection locked="0"/>
    </xf>
    <xf numFmtId="171" fontId="10" fillId="0" borderId="10" xfId="0" applyNumberFormat="1" applyFont="1" applyBorder="1" applyAlignment="1" applyProtection="1">
      <alignment horizontal="center" vertical="top"/>
      <protection locked="0"/>
    </xf>
    <xf numFmtId="171" fontId="81" fillId="0" borderId="10" xfId="0" applyNumberFormat="1" applyFont="1" applyBorder="1" applyAlignment="1" applyProtection="1">
      <alignment horizontal="center" vertical="top"/>
      <protection locked="0"/>
    </xf>
    <xf numFmtId="171" fontId="18" fillId="0" borderId="10" xfId="0" applyNumberFormat="1" applyFont="1" applyBorder="1" applyAlignment="1" applyProtection="1">
      <alignment horizontal="center" vertical="top"/>
      <protection locked="0"/>
    </xf>
    <xf numFmtId="176" fontId="10" fillId="3" borderId="10" xfId="0" applyNumberFormat="1" applyFont="1" applyFill="1" applyBorder="1" applyAlignment="1">
      <alignment horizontal="center" vertical="top"/>
    </xf>
    <xf numFmtId="0" fontId="31" fillId="0" borderId="10" xfId="0" applyFont="1" applyBorder="1" applyAlignment="1">
      <alignment horizontal="center"/>
    </xf>
    <xf numFmtId="171" fontId="55" fillId="2" borderId="24" xfId="0" applyNumberFormat="1" applyFont="1" applyFill="1" applyBorder="1" applyAlignment="1" applyProtection="1">
      <alignment horizontal="center" vertical="top"/>
      <protection locked="0"/>
    </xf>
    <xf numFmtId="171" fontId="55" fillId="2" borderId="0" xfId="0" applyNumberFormat="1" applyFont="1" applyFill="1" applyBorder="1" applyAlignment="1" applyProtection="1">
      <alignment horizontal="center" vertical="top"/>
      <protection locked="0"/>
    </xf>
    <xf numFmtId="171" fontId="31" fillId="0" borderId="0" xfId="0" applyNumberFormat="1" applyFont="1" applyAlignment="1">
      <alignment horizontal="center" vertical="top"/>
    </xf>
    <xf numFmtId="171" fontId="31" fillId="3" borderId="10" xfId="0" applyNumberFormat="1" applyFont="1" applyFill="1" applyBorder="1" applyAlignment="1">
      <alignment horizontal="center" vertical="top"/>
    </xf>
    <xf numFmtId="0" fontId="31" fillId="0" borderId="0" xfId="0" applyFont="1"/>
    <xf numFmtId="171" fontId="31" fillId="0" borderId="10" xfId="0" applyNumberFormat="1" applyFont="1" applyBorder="1" applyAlignment="1">
      <alignment horizontal="center" vertical="top"/>
    </xf>
    <xf numFmtId="49" fontId="48" fillId="3" borderId="10" xfId="0" applyNumberFormat="1" applyFont="1" applyFill="1" applyBorder="1" applyAlignment="1">
      <alignment horizontal="center" vertical="top"/>
    </xf>
    <xf numFmtId="0" fontId="31" fillId="0" borderId="11" xfId="0" applyFont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2" fontId="10" fillId="0" borderId="10" xfId="0" applyNumberFormat="1" applyFont="1" applyBorder="1" applyAlignment="1">
      <alignment horizontal="center" vertical="top"/>
    </xf>
    <xf numFmtId="3" fontId="10" fillId="0" borderId="10" xfId="0" applyNumberFormat="1" applyFont="1" applyBorder="1" applyAlignment="1">
      <alignment horizontal="center" vertical="top"/>
    </xf>
    <xf numFmtId="0" fontId="82" fillId="0" borderId="32" xfId="7" applyFont="1" applyBorder="1"/>
    <xf numFmtId="49" fontId="64" fillId="3" borderId="26" xfId="7" applyNumberFormat="1" applyFont="1" applyFill="1" applyBorder="1" applyAlignment="1">
      <alignment horizontal="left"/>
    </xf>
    <xf numFmtId="165" fontId="59" fillId="2" borderId="2" xfId="8" applyNumberFormat="1" applyFill="1" applyBorder="1" applyAlignment="1" applyProtection="1">
      <alignment horizontal="center"/>
      <protection locked="0"/>
    </xf>
    <xf numFmtId="166" fontId="10" fillId="2" borderId="2" xfId="10" applyNumberFormat="1" applyFont="1" applyFill="1" applyBorder="1" applyAlignment="1" applyProtection="1">
      <alignment horizontal="left"/>
      <protection locked="0"/>
    </xf>
    <xf numFmtId="0" fontId="59" fillId="2" borderId="3" xfId="8" applyFill="1" applyBorder="1" applyProtection="1">
      <protection locked="0"/>
    </xf>
    <xf numFmtId="2" fontId="59" fillId="0" borderId="0" xfId="7" applyNumberFormat="1" applyAlignment="1">
      <alignment horizontal="center"/>
    </xf>
    <xf numFmtId="0" fontId="59" fillId="0" borderId="0" xfId="7" applyAlignment="1">
      <alignment horizontal="left"/>
    </xf>
    <xf numFmtId="165" fontId="59" fillId="2" borderId="5" xfId="8" applyNumberFormat="1" applyFill="1" applyBorder="1" applyAlignment="1" applyProtection="1">
      <alignment horizontal="center"/>
      <protection locked="0"/>
    </xf>
    <xf numFmtId="166" fontId="0" fillId="2" borderId="5" xfId="10" applyNumberFormat="1" applyFont="1" applyFill="1" applyBorder="1" applyProtection="1">
      <protection locked="0"/>
    </xf>
    <xf numFmtId="0" fontId="59" fillId="2" borderId="6" xfId="8" applyFill="1" applyBorder="1" applyProtection="1">
      <protection locked="0"/>
    </xf>
    <xf numFmtId="0" fontId="59" fillId="0" borderId="32" xfId="7" applyBorder="1" applyAlignment="1">
      <alignment horizontal="right"/>
    </xf>
    <xf numFmtId="0" fontId="3" fillId="0" borderId="26" xfId="7" applyFont="1" applyBorder="1" applyAlignment="1">
      <alignment horizontal="center"/>
    </xf>
    <xf numFmtId="49" fontId="3" fillId="0" borderId="26" xfId="7" applyNumberFormat="1" applyFont="1" applyBorder="1" applyAlignment="1">
      <alignment horizontal="left"/>
    </xf>
    <xf numFmtId="0" fontId="3" fillId="0" borderId="35" xfId="7" applyFont="1" applyBorder="1"/>
    <xf numFmtId="0" fontId="2" fillId="0" borderId="36" xfId="7" applyFont="1" applyBorder="1" applyAlignment="1">
      <alignment horizontal="center"/>
    </xf>
    <xf numFmtId="0" fontId="2" fillId="0" borderId="36" xfId="7" applyFont="1" applyBorder="1" applyAlignment="1">
      <alignment horizontal="right"/>
    </xf>
    <xf numFmtId="0" fontId="2" fillId="0" borderId="37" xfId="7" applyFont="1" applyBorder="1"/>
    <xf numFmtId="0" fontId="83" fillId="0" borderId="38" xfId="7" applyFont="1" applyBorder="1" applyAlignment="1">
      <alignment horizontal="center" vertical="top"/>
    </xf>
    <xf numFmtId="49" fontId="83" fillId="0" borderId="38" xfId="7" applyNumberFormat="1" applyFont="1" applyBorder="1" applyAlignment="1">
      <alignment horizontal="left" vertical="top"/>
    </xf>
    <xf numFmtId="0" fontId="83" fillId="0" borderId="38" xfId="7" applyFont="1" applyBorder="1" applyAlignment="1">
      <alignment vertical="top" wrapText="1"/>
    </xf>
    <xf numFmtId="49" fontId="83" fillId="0" borderId="38" xfId="7" applyNumberFormat="1" applyFont="1" applyBorder="1" applyAlignment="1">
      <alignment horizontal="center" shrinkToFit="1"/>
    </xf>
    <xf numFmtId="4" fontId="83" fillId="0" borderId="38" xfId="7" applyNumberFormat="1" applyFont="1" applyBorder="1" applyAlignment="1">
      <alignment horizontal="right"/>
    </xf>
    <xf numFmtId="0" fontId="10" fillId="0" borderId="26" xfId="7" applyFont="1" applyBorder="1" applyAlignment="1">
      <alignment horizontal="center"/>
    </xf>
    <xf numFmtId="49" fontId="10" fillId="0" borderId="26" xfId="7" applyNumberFormat="1" applyFont="1" applyBorder="1" applyAlignment="1">
      <alignment horizontal="right"/>
    </xf>
    <xf numFmtId="4" fontId="84" fillId="6" borderId="39" xfId="7" applyNumberFormat="1" applyFont="1" applyFill="1" applyBorder="1" applyAlignment="1">
      <alignment horizontal="right" wrapText="1"/>
    </xf>
    <xf numFmtId="0" fontId="84" fillId="6" borderId="28" xfId="7" applyFont="1" applyFill="1" applyBorder="1" applyAlignment="1">
      <alignment horizontal="left" wrapText="1"/>
    </xf>
    <xf numFmtId="0" fontId="85" fillId="0" borderId="0" xfId="7" applyFont="1" applyAlignment="1">
      <alignment wrapText="1"/>
    </xf>
    <xf numFmtId="49" fontId="86" fillId="5" borderId="38" xfId="7" applyNumberFormat="1" applyFont="1" applyFill="1" applyBorder="1" applyAlignment="1">
      <alignment horizontal="left" vertical="top"/>
    </xf>
    <xf numFmtId="0" fontId="2" fillId="7" borderId="40" xfId="7" applyFont="1" applyFill="1" applyBorder="1" applyAlignment="1">
      <alignment horizontal="center"/>
    </xf>
    <xf numFmtId="49" fontId="52" fillId="7" borderId="40" xfId="7" applyNumberFormat="1" applyFont="1" applyFill="1" applyBorder="1" applyAlignment="1">
      <alignment horizontal="left"/>
    </xf>
    <xf numFmtId="0" fontId="52" fillId="7" borderId="35" xfId="7" applyFont="1" applyFill="1" applyBorder="1"/>
    <xf numFmtId="0" fontId="2" fillId="7" borderId="36" xfId="7" applyFont="1" applyFill="1" applyBorder="1" applyAlignment="1">
      <alignment horizontal="center"/>
    </xf>
    <xf numFmtId="4" fontId="2" fillId="7" borderId="36" xfId="7" applyNumberFormat="1" applyFont="1" applyFill="1" applyBorder="1" applyAlignment="1">
      <alignment horizontal="right"/>
    </xf>
    <xf numFmtId="49" fontId="87" fillId="0" borderId="0" xfId="0" applyNumberFormat="1" applyFont="1" applyAlignment="1">
      <alignment horizontal="left"/>
    </xf>
    <xf numFmtId="49" fontId="87" fillId="0" borderId="0" xfId="0" applyNumberFormat="1" applyFont="1" applyAlignment="1">
      <alignment horizontal="center"/>
    </xf>
    <xf numFmtId="49" fontId="3" fillId="7" borderId="18" xfId="0" applyNumberFormat="1" applyFont="1" applyFill="1" applyBorder="1" applyAlignment="1">
      <alignment horizontal="center"/>
    </xf>
    <xf numFmtId="0" fontId="3" fillId="7" borderId="32" xfId="0" applyFont="1" applyFill="1" applyBorder="1" applyAlignment="1">
      <alignment horizontal="center"/>
    </xf>
    <xf numFmtId="0" fontId="3" fillId="7" borderId="41" xfId="0" applyFont="1" applyFill="1" applyBorder="1" applyAlignment="1">
      <alignment horizontal="center"/>
    </xf>
    <xf numFmtId="49" fontId="10" fillId="0" borderId="42" xfId="0" applyNumberFormat="1" applyFont="1" applyBorder="1" applyAlignment="1">
      <alignment horizontal="center"/>
    </xf>
    <xf numFmtId="0" fontId="10" fillId="0" borderId="0" xfId="0" applyFont="1"/>
    <xf numFmtId="178" fontId="2" fillId="0" borderId="43" xfId="0" applyNumberFormat="1" applyFont="1" applyBorder="1"/>
    <xf numFmtId="0" fontId="3" fillId="7" borderId="18" xfId="0" applyFont="1" applyFill="1" applyBorder="1"/>
    <xf numFmtId="0" fontId="3" fillId="7" borderId="32" xfId="0" applyFont="1" applyFill="1" applyBorder="1"/>
    <xf numFmtId="178" fontId="3" fillId="7" borderId="22" xfId="0" applyNumberFormat="1" applyFont="1" applyFill="1" applyBorder="1"/>
    <xf numFmtId="0" fontId="62" fillId="0" borderId="0" xfId="0" applyFont="1"/>
    <xf numFmtId="0" fontId="62" fillId="0" borderId="0" xfId="0" applyFont="1" applyAlignment="1">
      <alignment horizontal="left"/>
    </xf>
    <xf numFmtId="0" fontId="59" fillId="0" borderId="0" xfId="7" applyAlignment="1">
      <alignment horizontal="right"/>
    </xf>
    <xf numFmtId="3" fontId="67" fillId="0" borderId="0" xfId="7" applyNumberFormat="1" applyFont="1" applyAlignment="1">
      <alignment horizontal="right"/>
    </xf>
    <xf numFmtId="4" fontId="83" fillId="0" borderId="38" xfId="7" applyNumberFormat="1" applyFont="1" applyBorder="1"/>
    <xf numFmtId="49" fontId="72" fillId="0" borderId="26" xfId="7" applyNumberFormat="1" applyFont="1" applyBorder="1" applyAlignment="1">
      <alignment horizontal="right"/>
    </xf>
    <xf numFmtId="4" fontId="88" fillId="6" borderId="39" xfId="7" applyNumberFormat="1" applyFont="1" applyFill="1" applyBorder="1" applyAlignment="1">
      <alignment horizontal="right" wrapText="1"/>
    </xf>
    <xf numFmtId="4" fontId="89" fillId="6" borderId="39" xfId="7" applyNumberFormat="1" applyFont="1" applyFill="1" applyBorder="1" applyAlignment="1">
      <alignment horizontal="right" wrapText="1"/>
    </xf>
    <xf numFmtId="49" fontId="86" fillId="0" borderId="38" xfId="7" applyNumberFormat="1" applyFont="1" applyBorder="1" applyAlignment="1">
      <alignment horizontal="left" vertical="top"/>
    </xf>
    <xf numFmtId="4" fontId="2" fillId="7" borderId="37" xfId="7" applyNumberFormat="1" applyFont="1" applyFill="1" applyBorder="1" applyAlignment="1">
      <alignment horizontal="right"/>
    </xf>
    <xf numFmtId="4" fontId="3" fillId="7" borderId="40" xfId="7" applyNumberFormat="1" applyFont="1" applyFill="1" applyBorder="1"/>
    <xf numFmtId="0" fontId="91" fillId="0" borderId="0" xfId="7" applyFont="1"/>
    <xf numFmtId="0" fontId="59" fillId="0" borderId="44" xfId="7" applyBorder="1" applyAlignment="1">
      <alignment horizontal="center"/>
    </xf>
    <xf numFmtId="0" fontId="59" fillId="0" borderId="45" xfId="7" applyBorder="1"/>
    <xf numFmtId="178" fontId="59" fillId="0" borderId="46" xfId="7" applyNumberFormat="1" applyBorder="1"/>
    <xf numFmtId="0" fontId="59" fillId="0" borderId="47" xfId="7" applyBorder="1" applyAlignment="1">
      <alignment horizontal="center"/>
    </xf>
    <xf numFmtId="0" fontId="59" fillId="0" borderId="48" xfId="7" applyBorder="1"/>
    <xf numFmtId="178" fontId="59" fillId="0" borderId="49" xfId="7" applyNumberFormat="1" applyBorder="1"/>
    <xf numFmtId="0" fontId="59" fillId="0" borderId="50" xfId="7" applyBorder="1" applyAlignment="1">
      <alignment horizontal="center"/>
    </xf>
    <xf numFmtId="0" fontId="59" fillId="0" borderId="51" xfId="7" applyBorder="1"/>
    <xf numFmtId="0" fontId="92" fillId="8" borderId="17" xfId="7" applyFont="1" applyFill="1" applyBorder="1" applyAlignment="1">
      <alignment vertical="center"/>
    </xf>
    <xf numFmtId="0" fontId="92" fillId="8" borderId="5" xfId="7" applyFont="1" applyFill="1" applyBorder="1" applyAlignment="1">
      <alignment vertical="center"/>
    </xf>
    <xf numFmtId="178" fontId="92" fillId="8" borderId="22" xfId="4" applyNumberFormat="1" applyFont="1" applyFill="1" applyBorder="1" applyAlignment="1">
      <alignment vertical="center"/>
    </xf>
    <xf numFmtId="0" fontId="84" fillId="0" borderId="43" xfId="0" applyFont="1" applyBorder="1" applyAlignment="1">
      <alignment horizontal="right"/>
    </xf>
    <xf numFmtId="0" fontId="2" fillId="9" borderId="52" xfId="7" applyFont="1" applyFill="1" applyBorder="1" applyAlignment="1">
      <alignment horizontal="center"/>
    </xf>
    <xf numFmtId="0" fontId="59" fillId="0" borderId="53" xfId="7" applyBorder="1"/>
    <xf numFmtId="173" fontId="10" fillId="3" borderId="13" xfId="4" applyNumberFormat="1" applyFont="1" applyFill="1" applyBorder="1" applyAlignment="1">
      <alignment horizontal="center" vertical="top"/>
    </xf>
    <xf numFmtId="49" fontId="86" fillId="3" borderId="38" xfId="7" applyNumberFormat="1" applyFont="1" applyFill="1" applyBorder="1" applyAlignment="1">
      <alignment horizontal="left" vertical="top"/>
    </xf>
    <xf numFmtId="49" fontId="10" fillId="3" borderId="26" xfId="7" applyNumberFormat="1" applyFont="1" applyFill="1" applyBorder="1" applyAlignment="1">
      <alignment horizontal="right"/>
    </xf>
    <xf numFmtId="49" fontId="83" fillId="3" borderId="38" xfId="7" applyNumberFormat="1" applyFont="1" applyFill="1" applyBorder="1" applyAlignment="1">
      <alignment horizontal="left" vertical="top"/>
    </xf>
    <xf numFmtId="0" fontId="83" fillId="0" borderId="38" xfId="7" applyFont="1" applyBorder="1" applyAlignment="1">
      <alignment horizontal="center"/>
    </xf>
    <xf numFmtId="49" fontId="83" fillId="0" borderId="38" xfId="7" applyNumberFormat="1" applyFont="1" applyBorder="1" applyAlignment="1">
      <alignment horizontal="left"/>
    </xf>
    <xf numFmtId="0" fontId="83" fillId="0" borderId="38" xfId="7" applyFont="1" applyBorder="1" applyAlignment="1">
      <alignment wrapText="1"/>
    </xf>
    <xf numFmtId="4" fontId="83" fillId="0" borderId="38" xfId="7" applyNumberFormat="1" applyFont="1" applyBorder="1" applyAlignment="1"/>
    <xf numFmtId="0" fontId="59" fillId="0" borderId="0" xfId="7" applyAlignment="1"/>
    <xf numFmtId="0" fontId="63" fillId="0" borderId="0" xfId="7" applyFont="1" applyAlignment="1"/>
    <xf numFmtId="49" fontId="84" fillId="6" borderId="26" xfId="7" applyNumberFormat="1" applyFont="1" applyFill="1" applyBorder="1" applyAlignment="1">
      <alignment horizontal="left" wrapText="1"/>
    </xf>
    <xf numFmtId="4" fontId="84" fillId="6" borderId="26" xfId="7" applyNumberFormat="1" applyFont="1" applyFill="1" applyBorder="1" applyAlignment="1">
      <alignment horizontal="right" wrapText="1"/>
    </xf>
    <xf numFmtId="0" fontId="93" fillId="0" borderId="0" xfId="0" applyFont="1" applyAlignment="1">
      <alignment horizontal="center"/>
    </xf>
    <xf numFmtId="0" fontId="65" fillId="0" borderId="28" xfId="7" applyFont="1" applyBorder="1" applyAlignment="1">
      <alignment horizontal="left" wrapText="1"/>
    </xf>
    <xf numFmtId="49" fontId="84" fillId="6" borderId="39" xfId="7" applyNumberFormat="1" applyFont="1" applyFill="1" applyBorder="1" applyAlignment="1">
      <alignment horizontal="left" wrapText="1"/>
    </xf>
    <xf numFmtId="49" fontId="88" fillId="6" borderId="39" xfId="7" applyNumberFormat="1" applyFont="1" applyFill="1" applyBorder="1" applyAlignment="1">
      <alignment horizontal="left" wrapText="1"/>
    </xf>
    <xf numFmtId="49" fontId="89" fillId="6" borderId="39" xfId="7" applyNumberFormat="1" applyFont="1" applyFill="1" applyBorder="1" applyAlignment="1">
      <alignment horizontal="left" wrapText="1"/>
    </xf>
  </cellXfs>
  <cellStyles count="11">
    <cellStyle name="Čárka" xfId="4" builtinId="3"/>
    <cellStyle name="Měna" xfId="1" builtinId="4"/>
    <cellStyle name="Měna 2" xfId="6" xr:uid="{4B313E50-1063-4C5F-87C6-DC44BC263436}"/>
    <cellStyle name="Měna 3" xfId="10" xr:uid="{AFDEEE55-8993-4F6A-88F8-44B0D083EB1F}"/>
    <cellStyle name="Normal 2" xfId="2" xr:uid="{E1800664-384A-4ED6-9CAA-098A157EDA12}"/>
    <cellStyle name="Normální" xfId="0" builtinId="0"/>
    <cellStyle name="Normální 2" xfId="5" xr:uid="{E5E43244-E61A-4805-85B5-4BAE55C1938D}"/>
    <cellStyle name="Normální 3" xfId="8" xr:uid="{94F85E54-59C8-49FC-A88F-C36169145A79}"/>
    <cellStyle name="Normální 3 2" xfId="9" xr:uid="{FF414BD0-0186-4C58-A2DB-26AF78E5D154}"/>
    <cellStyle name="normální_List1" xfId="3" xr:uid="{689D8BEC-0711-4E29-8EA4-66E70C531C0D}"/>
    <cellStyle name="normální_POL.XLS" xfId="7" xr:uid="{768F4D15-102D-45BB-9425-7CA7150FBA24}"/>
  </cellStyles>
  <dxfs count="0"/>
  <tableStyles count="0" defaultTableStyle="TableStyleMedium2" defaultPivotStyle="PivotStyleLight16"/>
  <colors>
    <mruColors>
      <color rgb="FFFF00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TYLY/AppData/Local/Temp/Rar$DIa17192.25744/H&#345;bitov%20&#268;esk&#253;%20Krumlov%20f&#225;ze%201%20kanalizace%20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TYLY/AppData/Local/Temp/Rar$DIa15608.21020/SO%20001%20-%20rozpocet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TYLY/Desktop/H&#345;bitov%20&#268;esk&#253;%20Krumlov%20f&#225;ze%201%20vod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TYLY/AppData/Local/Temp/Rar$DIa15608.21451/SO%20002%20-%20rozpocet%20(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ZTYLY/Desktop/&#268;K%20H&#345;bitov%20082020/&#268;K%20H&#345;bitov%20SO01ro%2011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  <cell r="C5" t="str">
            <v>Dešťová kanalizace</v>
          </cell>
        </row>
        <row r="6">
          <cell r="G6">
            <v>0</v>
          </cell>
        </row>
        <row r="7">
          <cell r="A7" t="str">
            <v>21/101</v>
          </cell>
          <cell r="C7" t="str">
            <v>Hřbitov Český Krumlov - fáze 1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>
        <row r="15">
          <cell r="E15">
            <v>3273896.9688814804</v>
          </cell>
          <cell r="F15">
            <v>9830.3220000000001</v>
          </cell>
          <cell r="G15">
            <v>0</v>
          </cell>
          <cell r="H15">
            <v>0</v>
          </cell>
          <cell r="I15">
            <v>0</v>
          </cell>
        </row>
        <row r="28">
          <cell r="H28">
            <v>197023.63745288883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C4" t="str">
            <v>SIE - D.1.4.B Zařízení silnoproudé elektrotechniky</v>
          </cell>
        </row>
        <row r="6">
          <cell r="C6" t="str">
            <v xml:space="preserve">SO 001 - HŘBITOV ČESKÝ KRUMLOV  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0</v>
          </cell>
          <cell r="G13">
            <v>318623.39999999997</v>
          </cell>
          <cell r="H13">
            <v>275073.05219999998</v>
          </cell>
          <cell r="I13">
            <v>0</v>
          </cell>
        </row>
        <row r="19">
          <cell r="H19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  <cell r="C5" t="str">
            <v>Rozvod vody</v>
          </cell>
        </row>
        <row r="6">
          <cell r="G6">
            <v>0</v>
          </cell>
        </row>
        <row r="7">
          <cell r="A7" t="str">
            <v>21/101</v>
          </cell>
          <cell r="C7" t="str">
            <v>Hřbitov Český Krumlov - fáze 1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>
        <row r="28">
          <cell r="H28" t="e">
            <v>#REF!</v>
          </cell>
        </row>
      </sheetData>
      <sheetData sheetId="2">
        <row r="5">
          <cell r="B5" t="str">
            <v>1</v>
          </cell>
          <cell r="C5" t="str">
            <v>Zemní práce</v>
          </cell>
        </row>
        <row r="53">
          <cell r="B53" t="str">
            <v>45</v>
          </cell>
          <cell r="C53" t="str">
            <v>Podkladní a vedlejší konstrukce</v>
          </cell>
        </row>
        <row r="62">
          <cell r="B62" t="str">
            <v>8</v>
          </cell>
          <cell r="C62" t="str">
            <v>Trubní vedení</v>
          </cell>
        </row>
        <row r="133">
          <cell r="B133" t="str">
            <v>99</v>
          </cell>
          <cell r="C133" t="str">
            <v>Staveništní přesun hmot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C4" t="str">
            <v>SIE - D.1.4.B Zařízení silnoproudé elektrotechniky</v>
          </cell>
        </row>
        <row r="6">
          <cell r="C6" t="str">
            <v xml:space="preserve">SO 002 - HŘBITOV ČESKÝ KRUMLOV  </v>
          </cell>
        </row>
        <row r="7">
          <cell r="G7">
            <v>0</v>
          </cell>
        </row>
      </sheetData>
      <sheetData sheetId="1">
        <row r="12">
          <cell r="E12">
            <v>0</v>
          </cell>
          <cell r="F12">
            <v>0</v>
          </cell>
          <cell r="G12">
            <v>141803.47999999998</v>
          </cell>
          <cell r="H12">
            <v>136148.3456</v>
          </cell>
          <cell r="I12">
            <v>0</v>
          </cell>
        </row>
        <row r="18">
          <cell r="H18">
            <v>0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"/>
      <sheetName val="pol."/>
      <sheetName val="vegetační up."/>
      <sheetName val="elektro"/>
      <sheetName val="ZTI"/>
      <sheetName val="lavičky bet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F0DE4-9274-4D9E-8F9D-2E56073BC612}">
  <sheetPr>
    <tabColor rgb="FFFF0000"/>
  </sheetPr>
  <dimension ref="A1:H35"/>
  <sheetViews>
    <sheetView tabSelected="1" topLeftCell="A17" workbookViewId="0">
      <selection activeCell="D30" sqref="D30"/>
    </sheetView>
  </sheetViews>
  <sheetFormatPr defaultRowHeight="15" x14ac:dyDescent="0.25"/>
  <cols>
    <col min="1" max="1" width="4.140625" customWidth="1"/>
    <col min="2" max="2" width="9" customWidth="1"/>
    <col min="3" max="3" width="40.85546875" customWidth="1"/>
    <col min="4" max="4" width="21" customWidth="1"/>
  </cols>
  <sheetData>
    <row r="1" spans="1:4" s="149" customFormat="1" ht="17.25" customHeight="1" x14ac:dyDescent="0.25">
      <c r="A1" s="148" t="s">
        <v>39</v>
      </c>
      <c r="B1" s="171"/>
      <c r="C1" s="2"/>
      <c r="D1" s="178" t="s">
        <v>975</v>
      </c>
    </row>
    <row r="2" spans="1:4" s="149" customFormat="1" ht="17.25" customHeight="1" x14ac:dyDescent="0.25">
      <c r="A2" s="150" t="s">
        <v>13</v>
      </c>
      <c r="B2" s="172"/>
      <c r="C2" s="13"/>
      <c r="D2" s="213" t="s">
        <v>128</v>
      </c>
    </row>
    <row r="3" spans="1:4" ht="24.75" customHeight="1" x14ac:dyDescent="0.25">
      <c r="C3" s="179" t="s">
        <v>81</v>
      </c>
    </row>
    <row r="4" spans="1:4" ht="18" customHeight="1" x14ac:dyDescent="0.25">
      <c r="B4" s="161" t="s">
        <v>104</v>
      </c>
      <c r="C4" s="161"/>
      <c r="D4" s="156">
        <f>pol.!G5</f>
        <v>0</v>
      </c>
    </row>
    <row r="5" spans="1:4" ht="18" customHeight="1" x14ac:dyDescent="0.25">
      <c r="B5" s="161" t="s">
        <v>105</v>
      </c>
      <c r="C5" s="161"/>
      <c r="D5" s="156">
        <f>pol.!G26</f>
        <v>0</v>
      </c>
    </row>
    <row r="6" spans="1:4" ht="18" customHeight="1" x14ac:dyDescent="0.25">
      <c r="B6" s="161" t="s">
        <v>106</v>
      </c>
      <c r="C6" s="161"/>
      <c r="D6" s="156">
        <f>pol.!G61</f>
        <v>0</v>
      </c>
    </row>
    <row r="7" spans="1:4" ht="18" customHeight="1" x14ac:dyDescent="0.25">
      <c r="B7" s="161" t="s">
        <v>107</v>
      </c>
      <c r="C7" s="161"/>
      <c r="D7" s="156">
        <f>pol.!G76</f>
        <v>0</v>
      </c>
    </row>
    <row r="8" spans="1:4" ht="18" customHeight="1" x14ac:dyDescent="0.25">
      <c r="B8" s="161" t="s">
        <v>74</v>
      </c>
      <c r="C8" s="161"/>
      <c r="D8" s="156">
        <f>pol.!G90</f>
        <v>0</v>
      </c>
    </row>
    <row r="9" spans="1:4" ht="18" customHeight="1" x14ac:dyDescent="0.25">
      <c r="B9" s="161" t="s">
        <v>108</v>
      </c>
      <c r="C9" s="161"/>
      <c r="D9" s="156">
        <f>pol.!G134</f>
        <v>0</v>
      </c>
    </row>
    <row r="10" spans="1:4" ht="18" customHeight="1" x14ac:dyDescent="0.25">
      <c r="B10" s="160" t="s">
        <v>102</v>
      </c>
      <c r="C10" s="161"/>
      <c r="D10" s="156">
        <f>pol.!G142</f>
        <v>0</v>
      </c>
    </row>
    <row r="11" spans="1:4" ht="18" customHeight="1" x14ac:dyDescent="0.25">
      <c r="B11" s="160" t="s">
        <v>395</v>
      </c>
      <c r="C11" s="161"/>
      <c r="D11" s="156">
        <f>pol.!G149</f>
        <v>0</v>
      </c>
    </row>
    <row r="12" spans="1:4" ht="18" customHeight="1" x14ac:dyDescent="0.25">
      <c r="B12" s="211" t="s">
        <v>109</v>
      </c>
      <c r="C12" s="211"/>
      <c r="D12" s="212">
        <f>pol.!G154</f>
        <v>0</v>
      </c>
    </row>
    <row r="13" spans="1:4" ht="18" customHeight="1" x14ac:dyDescent="0.25">
      <c r="B13" s="211" t="s">
        <v>110</v>
      </c>
      <c r="C13" s="211"/>
      <c r="D13" s="212">
        <f>pol.!G157</f>
        <v>0</v>
      </c>
    </row>
    <row r="14" spans="1:4" ht="18" customHeight="1" x14ac:dyDescent="0.25">
      <c r="B14" s="162" t="s">
        <v>388</v>
      </c>
      <c r="C14" s="162"/>
      <c r="D14" s="157">
        <f>pol.!G165</f>
        <v>0</v>
      </c>
    </row>
    <row r="15" spans="1:4" ht="18" customHeight="1" x14ac:dyDescent="0.25">
      <c r="C15" s="163" t="s">
        <v>42</v>
      </c>
      <c r="D15" s="158">
        <f>SUM(D4:D14)</f>
        <v>0</v>
      </c>
    </row>
    <row r="16" spans="1:4" ht="18" customHeight="1" x14ac:dyDescent="0.25">
      <c r="B16" s="160" t="s">
        <v>324</v>
      </c>
      <c r="C16" s="163"/>
      <c r="D16" s="156">
        <f>'vegetační up.'!G73</f>
        <v>0</v>
      </c>
    </row>
    <row r="17" spans="1:8" ht="18" customHeight="1" x14ac:dyDescent="0.25">
      <c r="B17" s="183" t="s">
        <v>41</v>
      </c>
      <c r="D17" s="156">
        <f>elektro!G86</f>
        <v>0</v>
      </c>
    </row>
    <row r="18" spans="1:8" ht="18" customHeight="1" x14ac:dyDescent="0.25">
      <c r="B18" s="160" t="s">
        <v>394</v>
      </c>
      <c r="D18" s="156">
        <f>vodovod!HSV</f>
        <v>0</v>
      </c>
    </row>
    <row r="19" spans="1:8" ht="18" customHeight="1" x14ac:dyDescent="0.25">
      <c r="B19" s="164" t="s">
        <v>393</v>
      </c>
      <c r="C19" s="155"/>
      <c r="D19" s="157">
        <f>kanalizace!G287</f>
        <v>0</v>
      </c>
    </row>
    <row r="20" spans="1:8" ht="18" customHeight="1" x14ac:dyDescent="0.25">
      <c r="C20" s="163" t="s">
        <v>43</v>
      </c>
      <c r="D20" s="158">
        <f>SUM(D16:D19)</f>
        <v>0</v>
      </c>
    </row>
    <row r="21" spans="1:8" ht="7.5" customHeight="1" x14ac:dyDescent="0.25">
      <c r="C21" s="163"/>
      <c r="D21" s="156"/>
    </row>
    <row r="22" spans="1:8" s="149" customFormat="1" ht="17.25" customHeight="1" x14ac:dyDescent="0.25">
      <c r="C22" s="165" t="s">
        <v>44</v>
      </c>
      <c r="D22" s="159">
        <f>D20+D15</f>
        <v>0</v>
      </c>
    </row>
    <row r="23" spans="1:8" ht="19.5" customHeight="1" x14ac:dyDescent="0.25">
      <c r="A23" s="166"/>
      <c r="B23" s="166"/>
      <c r="C23" s="180" t="s">
        <v>45</v>
      </c>
      <c r="E23" s="167"/>
      <c r="F23" s="166"/>
    </row>
    <row r="24" spans="1:8" ht="16.5" customHeight="1" x14ac:dyDescent="0.25">
      <c r="A24" s="168" t="s">
        <v>46</v>
      </c>
      <c r="B24" s="169">
        <v>12203000</v>
      </c>
      <c r="C24" s="170" t="s">
        <v>47</v>
      </c>
      <c r="D24" s="181">
        <v>0</v>
      </c>
      <c r="H24" s="217"/>
    </row>
    <row r="25" spans="1:8" ht="16.5" customHeight="1" x14ac:dyDescent="0.25">
      <c r="A25" s="168" t="s">
        <v>46</v>
      </c>
      <c r="B25" s="169">
        <v>13254000</v>
      </c>
      <c r="C25" s="170" t="s">
        <v>48</v>
      </c>
      <c r="D25" s="181">
        <v>0</v>
      </c>
    </row>
    <row r="26" spans="1:8" ht="16.5" customHeight="1" x14ac:dyDescent="0.25">
      <c r="A26" s="168" t="s">
        <v>46</v>
      </c>
      <c r="B26" s="169">
        <v>30001000</v>
      </c>
      <c r="C26" s="170" t="s">
        <v>49</v>
      </c>
      <c r="D26" s="181">
        <v>0</v>
      </c>
    </row>
    <row r="27" spans="1:8" ht="16.5" customHeight="1" x14ac:dyDescent="0.25">
      <c r="A27" s="168" t="s">
        <v>46</v>
      </c>
      <c r="B27" s="169">
        <v>70001000</v>
      </c>
      <c r="C27" s="170" t="s">
        <v>976</v>
      </c>
      <c r="D27" s="181">
        <v>0</v>
      </c>
    </row>
    <row r="28" spans="1:8" ht="16.5" customHeight="1" x14ac:dyDescent="0.25">
      <c r="A28" s="168" t="s">
        <v>46</v>
      </c>
      <c r="B28" s="169">
        <v>45203000</v>
      </c>
      <c r="C28" s="170" t="s">
        <v>50</v>
      </c>
      <c r="D28" s="181">
        <v>0</v>
      </c>
    </row>
    <row r="29" spans="1:8" ht="16.5" customHeight="1" x14ac:dyDescent="0.3">
      <c r="A29" s="168"/>
      <c r="B29" s="520" t="s">
        <v>977</v>
      </c>
      <c r="C29" s="170"/>
      <c r="D29" s="181">
        <v>0</v>
      </c>
    </row>
    <row r="30" spans="1:8" ht="16.5" customHeight="1" x14ac:dyDescent="0.3">
      <c r="A30" s="168"/>
      <c r="B30" s="520" t="s">
        <v>977</v>
      </c>
      <c r="C30" s="173"/>
      <c r="D30" s="182">
        <v>0</v>
      </c>
    </row>
    <row r="31" spans="1:8" x14ac:dyDescent="0.25">
      <c r="C31" s="163" t="s">
        <v>51</v>
      </c>
      <c r="D31" s="158">
        <f>SUM(D24:D30)</f>
        <v>0</v>
      </c>
    </row>
    <row r="32" spans="1:8" ht="5.25" customHeight="1" thickBot="1" x14ac:dyDescent="0.3">
      <c r="C32" s="160"/>
      <c r="D32" s="160"/>
    </row>
    <row r="33" spans="2:4" s="149" customFormat="1" ht="17.25" customHeight="1" thickBot="1" x14ac:dyDescent="0.3">
      <c r="C33" s="165" t="s">
        <v>52</v>
      </c>
      <c r="D33" s="177">
        <f>D31+D22</f>
        <v>0</v>
      </c>
    </row>
    <row r="34" spans="2:4" ht="21" customHeight="1" thickBot="1" x14ac:dyDescent="0.3">
      <c r="C34" s="184" t="s">
        <v>53</v>
      </c>
      <c r="D34" s="185">
        <f>D33*0.21</f>
        <v>0</v>
      </c>
    </row>
    <row r="35" spans="2:4" ht="22.5" customHeight="1" thickBot="1" x14ac:dyDescent="0.3">
      <c r="B35" s="174" t="s">
        <v>978</v>
      </c>
      <c r="C35" s="175"/>
      <c r="D35" s="176">
        <f>D34+D33</f>
        <v>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80DF6-9EF5-4E72-A1B2-F285F52D7136}">
  <sheetPr>
    <tabColor rgb="FFFFFF00"/>
  </sheetPr>
  <dimension ref="A1:Z170"/>
  <sheetViews>
    <sheetView topLeftCell="A110" workbookViewId="0">
      <selection activeCell="F49" sqref="F49:F88"/>
    </sheetView>
  </sheetViews>
  <sheetFormatPr defaultRowHeight="16.5" customHeight="1" x14ac:dyDescent="0.25"/>
  <cols>
    <col min="1" max="1" width="4.85546875" customWidth="1"/>
    <col min="2" max="2" width="12.5703125" customWidth="1"/>
    <col min="3" max="3" width="61.85546875" customWidth="1"/>
    <col min="4" max="4" width="6.140625" customWidth="1"/>
    <col min="5" max="5" width="10.85546875" bestFit="1" customWidth="1"/>
    <col min="6" max="6" width="11.140625" customWidth="1"/>
    <col min="7" max="7" width="16" style="53" customWidth="1"/>
    <col min="8" max="8" width="8.5703125" customWidth="1"/>
    <col min="9" max="9" width="8.28515625" style="429" customWidth="1"/>
    <col min="10" max="10" width="10.85546875" style="68" customWidth="1"/>
    <col min="11" max="11" width="8.140625" customWidth="1"/>
    <col min="12" max="12" width="9.140625" customWidth="1"/>
    <col min="13" max="13" width="26.85546875" customWidth="1"/>
  </cols>
  <sheetData>
    <row r="1" spans="1:25" s="11" customFormat="1" ht="16.5" customHeight="1" x14ac:dyDescent="0.25">
      <c r="A1" s="1" t="s">
        <v>275</v>
      </c>
      <c r="B1" s="2"/>
      <c r="C1" s="3"/>
      <c r="D1" s="4"/>
      <c r="E1" s="282" t="s">
        <v>269</v>
      </c>
      <c r="F1" s="6"/>
      <c r="G1" s="188" t="s">
        <v>129</v>
      </c>
      <c r="H1" s="205"/>
      <c r="I1" s="417"/>
      <c r="J1" s="63"/>
      <c r="K1" s="7"/>
      <c r="L1" s="8"/>
      <c r="M1" s="9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5" s="11" customFormat="1" ht="16.5" customHeight="1" x14ac:dyDescent="0.25">
      <c r="A2" s="12" t="s">
        <v>13</v>
      </c>
      <c r="B2" s="13"/>
      <c r="C2" s="14"/>
      <c r="D2" s="15"/>
      <c r="E2" s="16" t="s">
        <v>0</v>
      </c>
      <c r="F2" s="17"/>
      <c r="G2" s="49"/>
      <c r="H2" s="206"/>
      <c r="I2" s="418"/>
      <c r="J2" s="64"/>
      <c r="K2" s="18"/>
      <c r="L2" s="19"/>
      <c r="M2" s="9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5" s="11" customFormat="1" ht="16.5" customHeight="1" thickBot="1" x14ac:dyDescent="0.3">
      <c r="A3" s="20" t="s">
        <v>1</v>
      </c>
      <c r="B3" s="22" t="s">
        <v>2</v>
      </c>
      <c r="C3" s="23" t="s">
        <v>3</v>
      </c>
      <c r="D3" s="22" t="s">
        <v>4</v>
      </c>
      <c r="E3" s="24" t="s">
        <v>5</v>
      </c>
      <c r="F3" s="25" t="s">
        <v>6</v>
      </c>
      <c r="G3" s="50" t="s">
        <v>7</v>
      </c>
      <c r="H3" s="26" t="s">
        <v>18</v>
      </c>
      <c r="I3" s="427" t="s">
        <v>8</v>
      </c>
      <c r="J3" s="65" t="s">
        <v>9</v>
      </c>
      <c r="K3" s="21" t="s">
        <v>10</v>
      </c>
      <c r="L3" s="26" t="s">
        <v>11</v>
      </c>
      <c r="M3" s="27"/>
      <c r="N3" s="28"/>
      <c r="O3" s="28"/>
      <c r="P3" s="28"/>
      <c r="Q3" s="28"/>
      <c r="R3" s="28"/>
      <c r="S3" s="28"/>
      <c r="T3" s="28"/>
      <c r="U3" s="28"/>
      <c r="V3" s="28"/>
      <c r="W3" s="28"/>
      <c r="X3" s="29"/>
      <c r="Y3" s="29"/>
    </row>
    <row r="4" spans="1:25" s="11" customFormat="1" ht="4.5" customHeight="1" thickTop="1" x14ac:dyDescent="0.25">
      <c r="A4" s="70"/>
      <c r="B4" s="70"/>
      <c r="C4" s="71"/>
      <c r="D4" s="70"/>
      <c r="E4" s="72"/>
      <c r="F4" s="73"/>
      <c r="G4" s="74"/>
      <c r="H4" s="70"/>
      <c r="I4" s="428"/>
      <c r="J4" s="75"/>
      <c r="K4" s="76"/>
      <c r="L4" s="70"/>
      <c r="M4" s="27"/>
      <c r="N4" s="28"/>
      <c r="O4" s="28"/>
      <c r="P4" s="28"/>
      <c r="Q4" s="28"/>
      <c r="R4" s="28"/>
      <c r="S4" s="28"/>
      <c r="T4" s="28"/>
      <c r="U4" s="28"/>
      <c r="V4" s="28"/>
      <c r="W4" s="28"/>
      <c r="X4" s="29"/>
      <c r="Y4" s="29"/>
    </row>
    <row r="5" spans="1:25" s="11" customFormat="1" ht="21" customHeight="1" x14ac:dyDescent="0.25">
      <c r="B5" s="30"/>
      <c r="C5" s="30" t="s">
        <v>104</v>
      </c>
      <c r="D5" s="31"/>
      <c r="E5" s="32"/>
      <c r="F5" s="33"/>
      <c r="G5" s="51">
        <f>SUM(G6:G24)</f>
        <v>0</v>
      </c>
      <c r="H5" s="34"/>
      <c r="I5" s="419"/>
      <c r="J5" s="67">
        <f>SUM(J6:J21)</f>
        <v>0</v>
      </c>
      <c r="K5" s="35"/>
      <c r="L5" s="67">
        <f>SUM(L6:L21)</f>
        <v>473.29399999999998</v>
      </c>
      <c r="M5" s="37"/>
      <c r="N5" s="36"/>
      <c r="O5" s="36"/>
      <c r="P5" s="36"/>
      <c r="Q5" s="36"/>
      <c r="R5" s="36"/>
      <c r="S5" s="36"/>
      <c r="T5" s="36"/>
      <c r="U5" s="36"/>
      <c r="V5" s="36"/>
      <c r="W5" s="36"/>
      <c r="X5" s="38"/>
      <c r="Y5" s="38"/>
    </row>
    <row r="6" spans="1:25" s="102" customFormat="1" ht="16.5" customHeight="1" x14ac:dyDescent="0.25">
      <c r="A6" s="42" t="s">
        <v>12</v>
      </c>
      <c r="B6" s="47">
        <v>961044111</v>
      </c>
      <c r="C6" s="47" t="s">
        <v>22</v>
      </c>
      <c r="D6" s="110" t="s">
        <v>17</v>
      </c>
      <c r="E6" s="62">
        <v>0.35</v>
      </c>
      <c r="F6" s="130"/>
      <c r="G6" s="52">
        <f>E6*F6</f>
        <v>0</v>
      </c>
      <c r="H6" s="83" t="s">
        <v>404</v>
      </c>
      <c r="I6" s="420">
        <v>0</v>
      </c>
      <c r="J6" s="66">
        <f>E6*I6</f>
        <v>0</v>
      </c>
      <c r="K6" s="85">
        <v>2</v>
      </c>
      <c r="L6" s="40">
        <f>E6*K6</f>
        <v>0.7</v>
      </c>
      <c r="M6" s="99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1"/>
      <c r="Y6" s="101"/>
    </row>
    <row r="7" spans="1:25" s="102" customFormat="1" ht="16.5" customHeight="1" x14ac:dyDescent="0.25">
      <c r="A7" s="42"/>
      <c r="B7" s="77" t="s">
        <v>61</v>
      </c>
      <c r="C7" s="103" t="s">
        <v>119</v>
      </c>
      <c r="D7" s="110" t="s">
        <v>17</v>
      </c>
      <c r="E7" s="218">
        <v>0.35</v>
      </c>
      <c r="F7" s="130"/>
      <c r="G7" s="95"/>
      <c r="H7" s="96"/>
      <c r="I7" s="421"/>
      <c r="J7" s="97"/>
      <c r="K7" s="87"/>
      <c r="L7" s="98"/>
      <c r="M7" s="99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1"/>
      <c r="Y7" s="101"/>
    </row>
    <row r="8" spans="1:25" s="102" customFormat="1" ht="16.5" customHeight="1" x14ac:dyDescent="0.25">
      <c r="A8" s="125" t="s">
        <v>120</v>
      </c>
      <c r="B8" s="47">
        <v>962042321</v>
      </c>
      <c r="C8" s="47" t="s">
        <v>60</v>
      </c>
      <c r="D8" s="43" t="s">
        <v>17</v>
      </c>
      <c r="E8" s="142">
        <v>0.72000000000000008</v>
      </c>
      <c r="F8" s="62"/>
      <c r="G8" s="52">
        <f>E8*F8</f>
        <v>0</v>
      </c>
      <c r="H8" s="83" t="s">
        <v>404</v>
      </c>
      <c r="I8" s="422">
        <v>0</v>
      </c>
      <c r="J8" s="66">
        <f>E8*I8</f>
        <v>0</v>
      </c>
      <c r="K8" s="86">
        <v>2.2000000000000002</v>
      </c>
      <c r="L8" s="40">
        <f>E8*K8</f>
        <v>1.5840000000000003</v>
      </c>
      <c r="M8" s="99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1"/>
      <c r="Y8" s="101"/>
    </row>
    <row r="9" spans="1:25" s="102" customFormat="1" ht="16.5" customHeight="1" x14ac:dyDescent="0.25">
      <c r="A9" s="42"/>
      <c r="B9" s="77" t="s">
        <v>61</v>
      </c>
      <c r="C9" s="103" t="s">
        <v>121</v>
      </c>
      <c r="D9" s="110" t="s">
        <v>17</v>
      </c>
      <c r="E9" s="111">
        <v>0.72000000000000008</v>
      </c>
      <c r="F9" s="130"/>
      <c r="G9" s="130"/>
      <c r="H9" s="130"/>
      <c r="I9" s="130"/>
      <c r="J9" s="130"/>
      <c r="K9" s="130"/>
      <c r="L9" s="130"/>
      <c r="M9" s="99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1"/>
      <c r="Y9" s="101"/>
    </row>
    <row r="10" spans="1:25" s="88" customFormat="1" ht="16.5" customHeight="1" x14ac:dyDescent="0.2">
      <c r="A10" s="126"/>
      <c r="B10" s="200" t="s">
        <v>71</v>
      </c>
      <c r="C10" s="201"/>
      <c r="D10" s="202"/>
      <c r="E10" s="203"/>
      <c r="F10" s="191">
        <v>0.2</v>
      </c>
      <c r="G10" s="94"/>
      <c r="H10" s="90"/>
      <c r="I10" s="91"/>
      <c r="J10" s="92"/>
      <c r="K10" s="93"/>
      <c r="L10" s="93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</row>
    <row r="11" spans="1:25" s="88" customFormat="1" ht="16.5" customHeight="1" x14ac:dyDescent="0.2">
      <c r="A11" s="126"/>
      <c r="B11" s="201" t="s">
        <v>24</v>
      </c>
      <c r="C11" s="201"/>
      <c r="D11" s="202" t="s">
        <v>23</v>
      </c>
      <c r="E11" s="203">
        <v>606</v>
      </c>
      <c r="F11" s="192">
        <f>E11*0.2</f>
        <v>121.2</v>
      </c>
      <c r="G11" s="94"/>
      <c r="H11" s="90"/>
      <c r="I11" s="91"/>
      <c r="J11" s="92"/>
      <c r="K11" s="93"/>
      <c r="L11" s="93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</row>
    <row r="12" spans="1:25" s="88" customFormat="1" ht="16.5" customHeight="1" x14ac:dyDescent="0.2">
      <c r="A12" s="126"/>
      <c r="B12" s="194" t="s">
        <v>113</v>
      </c>
      <c r="C12" s="81"/>
      <c r="D12" s="82"/>
      <c r="E12" s="89"/>
      <c r="F12" s="192"/>
      <c r="G12" s="192"/>
      <c r="H12" s="90"/>
      <c r="I12" s="91"/>
      <c r="J12" s="92"/>
      <c r="K12" s="93"/>
      <c r="L12" s="93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</row>
    <row r="13" spans="1:25" s="88" customFormat="1" ht="16.5" customHeight="1" x14ac:dyDescent="0.2">
      <c r="A13" s="117">
        <f>A8+1</f>
        <v>3</v>
      </c>
      <c r="B13" s="47">
        <v>113107122</v>
      </c>
      <c r="C13" s="47" t="s">
        <v>35</v>
      </c>
      <c r="D13" s="43" t="s">
        <v>19</v>
      </c>
      <c r="E13" s="122">
        <v>121.2</v>
      </c>
      <c r="F13" s="116"/>
      <c r="G13" s="95">
        <f t="shared" ref="G13:G14" si="0">E13*F13</f>
        <v>0</v>
      </c>
      <c r="H13" s="83" t="s">
        <v>404</v>
      </c>
      <c r="I13" s="115">
        <v>0</v>
      </c>
      <c r="J13" s="66">
        <f t="shared" ref="J13:J14" si="1">E13*I13</f>
        <v>0</v>
      </c>
      <c r="K13" s="112">
        <v>0.28999999999999998</v>
      </c>
      <c r="L13" s="40">
        <f t="shared" ref="L13:L14" si="2">E13*K13</f>
        <v>35.147999999999996</v>
      </c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</row>
    <row r="14" spans="1:25" s="88" customFormat="1" ht="27" customHeight="1" x14ac:dyDescent="0.2">
      <c r="A14" s="117">
        <f t="shared" ref="A14" si="3">A13+1</f>
        <v>4</v>
      </c>
      <c r="B14" s="47">
        <v>113107162</v>
      </c>
      <c r="C14" s="47" t="s">
        <v>32</v>
      </c>
      <c r="D14" s="43" t="s">
        <v>19</v>
      </c>
      <c r="E14" s="219">
        <v>484.8</v>
      </c>
      <c r="F14" s="116"/>
      <c r="G14" s="95">
        <f t="shared" si="0"/>
        <v>0</v>
      </c>
      <c r="H14" s="83" t="s">
        <v>404</v>
      </c>
      <c r="I14" s="115">
        <v>0</v>
      </c>
      <c r="J14" s="66">
        <f t="shared" si="1"/>
        <v>0</v>
      </c>
      <c r="K14" s="112">
        <v>0.28999999999999998</v>
      </c>
      <c r="L14" s="40">
        <f t="shared" si="2"/>
        <v>140.59199999999998</v>
      </c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</row>
    <row r="15" spans="1:25" s="88" customFormat="1" ht="40.5" customHeight="1" x14ac:dyDescent="0.2">
      <c r="A15" s="117">
        <f>A14+1</f>
        <v>5</v>
      </c>
      <c r="B15" s="47">
        <v>113107142</v>
      </c>
      <c r="C15" s="47" t="s">
        <v>33</v>
      </c>
      <c r="D15" s="43" t="s">
        <v>19</v>
      </c>
      <c r="E15" s="219">
        <v>121.2</v>
      </c>
      <c r="F15" s="116"/>
      <c r="G15" s="52">
        <f t="shared" ref="G15:G16" si="4">E15*F15</f>
        <v>0</v>
      </c>
      <c r="H15" s="83" t="s">
        <v>404</v>
      </c>
      <c r="I15" s="114">
        <v>0</v>
      </c>
      <c r="J15" s="66">
        <f t="shared" ref="J15:J16" si="5">E15*I15</f>
        <v>0</v>
      </c>
      <c r="K15" s="114">
        <v>0.22</v>
      </c>
      <c r="L15" s="40">
        <f t="shared" ref="L15:L19" si="6">E15*K15</f>
        <v>26.664000000000001</v>
      </c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</row>
    <row r="16" spans="1:25" s="88" customFormat="1" ht="18.75" customHeight="1" x14ac:dyDescent="0.2">
      <c r="A16" s="117">
        <f t="shared" ref="A16:A20" si="7">A15+1</f>
        <v>6</v>
      </c>
      <c r="B16" s="47">
        <v>113107242</v>
      </c>
      <c r="C16" s="47" t="s">
        <v>34</v>
      </c>
      <c r="D16" s="43" t="s">
        <v>19</v>
      </c>
      <c r="E16" s="219">
        <v>484.8</v>
      </c>
      <c r="F16" s="116"/>
      <c r="G16" s="52">
        <f t="shared" si="4"/>
        <v>0</v>
      </c>
      <c r="H16" s="83" t="s">
        <v>404</v>
      </c>
      <c r="I16" s="114">
        <v>0</v>
      </c>
      <c r="J16" s="66">
        <f t="shared" si="5"/>
        <v>0</v>
      </c>
      <c r="K16" s="114">
        <v>0.22</v>
      </c>
      <c r="L16" s="40">
        <f t="shared" si="6"/>
        <v>106.65600000000001</v>
      </c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</row>
    <row r="17" spans="1:26" s="88" customFormat="1" ht="37.5" customHeight="1" x14ac:dyDescent="0.2">
      <c r="A17" s="117">
        <f t="shared" si="7"/>
        <v>7</v>
      </c>
      <c r="B17" s="47">
        <v>113202111</v>
      </c>
      <c r="C17" s="47" t="s">
        <v>59</v>
      </c>
      <c r="D17" s="129" t="s">
        <v>25</v>
      </c>
      <c r="E17" s="119">
        <v>790</v>
      </c>
      <c r="F17" s="131"/>
      <c r="G17" s="189">
        <f>F17*E17</f>
        <v>0</v>
      </c>
      <c r="H17" s="83" t="s">
        <v>404</v>
      </c>
      <c r="I17" s="114">
        <v>0</v>
      </c>
      <c r="J17" s="66">
        <f t="shared" ref="J17:J24" si="8">E17*I17</f>
        <v>0</v>
      </c>
      <c r="K17" s="114">
        <v>0.20499999999999999</v>
      </c>
      <c r="L17" s="40">
        <f t="shared" si="6"/>
        <v>161.94999999999999</v>
      </c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</row>
    <row r="18" spans="1:26" s="88" customFormat="1" ht="16.5" customHeight="1" x14ac:dyDescent="0.2">
      <c r="A18" s="117">
        <f t="shared" si="7"/>
        <v>8</v>
      </c>
      <c r="B18" s="187" t="s">
        <v>56</v>
      </c>
      <c r="C18" s="306" t="s">
        <v>57</v>
      </c>
      <c r="D18" s="129" t="s">
        <v>25</v>
      </c>
      <c r="E18" s="193">
        <v>790</v>
      </c>
      <c r="F18" s="131"/>
      <c r="G18" s="52">
        <f>E18*F18</f>
        <v>0</v>
      </c>
      <c r="H18" s="83" t="s">
        <v>404</v>
      </c>
      <c r="I18" s="114">
        <v>0</v>
      </c>
      <c r="J18" s="66">
        <f t="shared" si="8"/>
        <v>0</v>
      </c>
      <c r="K18" s="114">
        <v>0</v>
      </c>
      <c r="L18" s="40">
        <f t="shared" si="6"/>
        <v>0</v>
      </c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</row>
    <row r="19" spans="1:26" s="88" customFormat="1" ht="16.5" customHeight="1" x14ac:dyDescent="0.2">
      <c r="A19" s="117">
        <f t="shared" si="7"/>
        <v>9</v>
      </c>
      <c r="B19" s="47">
        <v>919735112</v>
      </c>
      <c r="C19" s="47" t="s">
        <v>26</v>
      </c>
      <c r="D19" s="129" t="s">
        <v>25</v>
      </c>
      <c r="E19" s="119">
        <v>10</v>
      </c>
      <c r="F19" s="131"/>
      <c r="G19" s="189">
        <f t="shared" ref="G19:G24" si="9">F19*E19</f>
        <v>0</v>
      </c>
      <c r="H19" s="83" t="s">
        <v>404</v>
      </c>
      <c r="I19" s="114">
        <v>0</v>
      </c>
      <c r="J19" s="66">
        <f t="shared" si="8"/>
        <v>0</v>
      </c>
      <c r="K19" s="114">
        <v>0</v>
      </c>
      <c r="L19" s="40">
        <f t="shared" si="6"/>
        <v>0</v>
      </c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</row>
    <row r="20" spans="1:26" s="88" customFormat="1" ht="24.75" customHeight="1" x14ac:dyDescent="0.2">
      <c r="A20" s="117">
        <f t="shared" si="7"/>
        <v>10</v>
      </c>
      <c r="B20" s="47">
        <v>997013501</v>
      </c>
      <c r="C20" s="47" t="s">
        <v>407</v>
      </c>
      <c r="D20" s="110" t="s">
        <v>16</v>
      </c>
      <c r="E20" s="119">
        <v>473.29399999999998</v>
      </c>
      <c r="F20" s="132"/>
      <c r="G20" s="189">
        <f t="shared" si="9"/>
        <v>0</v>
      </c>
      <c r="H20" s="83" t="s">
        <v>404</v>
      </c>
      <c r="I20" s="114">
        <v>0</v>
      </c>
      <c r="J20" s="66">
        <f t="shared" si="8"/>
        <v>0</v>
      </c>
      <c r="K20" s="114">
        <v>0</v>
      </c>
      <c r="L20" s="40">
        <v>0</v>
      </c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</row>
    <row r="21" spans="1:26" ht="27.75" customHeight="1" x14ac:dyDescent="0.25">
      <c r="A21" s="118">
        <f>A20+1</f>
        <v>11</v>
      </c>
      <c r="B21" s="47">
        <v>997013509</v>
      </c>
      <c r="C21" s="47" t="s">
        <v>408</v>
      </c>
      <c r="D21" s="110" t="s">
        <v>16</v>
      </c>
      <c r="E21" s="119">
        <v>6626.116</v>
      </c>
      <c r="F21" s="131"/>
      <c r="G21" s="189">
        <f t="shared" si="9"/>
        <v>0</v>
      </c>
      <c r="H21" s="83" t="s">
        <v>404</v>
      </c>
      <c r="I21" s="114">
        <v>0</v>
      </c>
      <c r="J21" s="66">
        <f t="shared" si="8"/>
        <v>0</v>
      </c>
      <c r="K21" s="114">
        <v>0</v>
      </c>
      <c r="L21" s="40">
        <v>0</v>
      </c>
    </row>
    <row r="22" spans="1:26" ht="25.5" customHeight="1" x14ac:dyDescent="0.25">
      <c r="A22" s="118">
        <f>A21+1</f>
        <v>12</v>
      </c>
      <c r="B22" s="47">
        <v>997221645</v>
      </c>
      <c r="C22" s="47" t="s">
        <v>27</v>
      </c>
      <c r="D22" s="110" t="s">
        <v>16</v>
      </c>
      <c r="E22" s="122">
        <v>133.32</v>
      </c>
      <c r="F22" s="130"/>
      <c r="G22" s="189">
        <f t="shared" si="9"/>
        <v>0</v>
      </c>
      <c r="H22" s="83" t="s">
        <v>404</v>
      </c>
      <c r="I22" s="114">
        <v>0</v>
      </c>
      <c r="J22" s="66">
        <f t="shared" si="8"/>
        <v>0</v>
      </c>
      <c r="K22" s="123"/>
      <c r="L22" s="121"/>
    </row>
    <row r="23" spans="1:26" ht="25.5" customHeight="1" x14ac:dyDescent="0.25">
      <c r="A23" s="118">
        <f>A22+1</f>
        <v>13</v>
      </c>
      <c r="B23" s="47">
        <v>997221655</v>
      </c>
      <c r="C23" s="47" t="s">
        <v>28</v>
      </c>
      <c r="D23" s="110" t="s">
        <v>16</v>
      </c>
      <c r="E23" s="122">
        <v>337.69</v>
      </c>
      <c r="F23" s="124"/>
      <c r="G23" s="189">
        <f t="shared" si="9"/>
        <v>0</v>
      </c>
      <c r="H23" s="83" t="s">
        <v>404</v>
      </c>
      <c r="I23" s="114">
        <v>0</v>
      </c>
      <c r="J23" s="66">
        <f t="shared" si="8"/>
        <v>0</v>
      </c>
      <c r="K23" s="123"/>
      <c r="L23" s="121"/>
    </row>
    <row r="24" spans="1:26" ht="25.5" customHeight="1" x14ac:dyDescent="0.25">
      <c r="A24" s="118">
        <f>A23+1</f>
        <v>14</v>
      </c>
      <c r="B24" s="47">
        <v>997221615</v>
      </c>
      <c r="C24" s="47" t="s">
        <v>29</v>
      </c>
      <c r="D24" s="110" t="s">
        <v>16</v>
      </c>
      <c r="E24" s="119">
        <v>2.2840000000000003</v>
      </c>
      <c r="F24" s="124"/>
      <c r="G24" s="189">
        <f t="shared" si="9"/>
        <v>0</v>
      </c>
      <c r="H24" s="83" t="s">
        <v>404</v>
      </c>
      <c r="I24" s="114">
        <v>0</v>
      </c>
      <c r="J24" s="66">
        <f t="shared" si="8"/>
        <v>0</v>
      </c>
      <c r="K24" s="123"/>
      <c r="L24" s="121"/>
    </row>
    <row r="25" spans="1:26" ht="30.75" customHeight="1" x14ac:dyDescent="0.25">
      <c r="G25"/>
    </row>
    <row r="26" spans="1:26" s="11" customFormat="1" ht="21" customHeight="1" x14ac:dyDescent="0.25">
      <c r="B26" s="30"/>
      <c r="C26" s="30" t="s">
        <v>105</v>
      </c>
      <c r="D26" s="31"/>
      <c r="E26" s="32">
        <v>697.58339000000001</v>
      </c>
      <c r="F26" s="33"/>
      <c r="G26" s="51">
        <f>SUM(G27:G59)</f>
        <v>0</v>
      </c>
      <c r="H26" s="34"/>
      <c r="I26" s="419"/>
      <c r="J26" s="67">
        <f>SUM(J29:J52)</f>
        <v>0.39704</v>
      </c>
      <c r="K26" s="35"/>
      <c r="L26" s="67">
        <f>SUM(L29:L52)</f>
        <v>0</v>
      </c>
      <c r="M26" s="37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8"/>
      <c r="Y26" s="38"/>
    </row>
    <row r="27" spans="1:26" s="11" customFormat="1" ht="17.25" customHeight="1" x14ac:dyDescent="0.25">
      <c r="A27" s="118">
        <f>A24+1</f>
        <v>15</v>
      </c>
      <c r="B27" s="47">
        <v>121151123</v>
      </c>
      <c r="C27" s="47" t="s">
        <v>400</v>
      </c>
      <c r="D27" s="110" t="s">
        <v>19</v>
      </c>
      <c r="E27" s="62">
        <v>650</v>
      </c>
      <c r="F27" s="48"/>
      <c r="G27" s="52">
        <f t="shared" ref="G27" si="10">E27*F27</f>
        <v>0</v>
      </c>
      <c r="H27" s="83" t="s">
        <v>404</v>
      </c>
      <c r="I27" s="423">
        <v>0</v>
      </c>
      <c r="J27" s="66">
        <f>E27*I27</f>
        <v>0</v>
      </c>
      <c r="K27" s="39"/>
      <c r="L27" s="40">
        <f>E27*K27</f>
        <v>0</v>
      </c>
      <c r="M27" s="41"/>
      <c r="N27" s="37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29"/>
      <c r="Z27" s="29"/>
    </row>
    <row r="28" spans="1:26" s="11" customFormat="1" ht="16.5" customHeight="1" x14ac:dyDescent="0.25">
      <c r="B28" s="30"/>
      <c r="C28" s="201" t="s">
        <v>276</v>
      </c>
      <c r="D28" s="31"/>
      <c r="E28" s="32"/>
      <c r="F28" s="33"/>
      <c r="G28" s="51"/>
      <c r="H28" s="34"/>
      <c r="I28" s="419"/>
      <c r="J28" s="67"/>
      <c r="K28" s="35"/>
      <c r="L28" s="67"/>
      <c r="M28" s="67"/>
      <c r="N28" s="37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8"/>
      <c r="Z28" s="38"/>
    </row>
    <row r="29" spans="1:26" s="11" customFormat="1" ht="28.5" customHeight="1" x14ac:dyDescent="0.25">
      <c r="A29" s="118">
        <f>A27+1</f>
        <v>16</v>
      </c>
      <c r="B29" s="47">
        <v>132251104</v>
      </c>
      <c r="C29" s="47" t="s">
        <v>389</v>
      </c>
      <c r="D29" s="43" t="s">
        <v>17</v>
      </c>
      <c r="E29" s="62">
        <v>16.958490000000001</v>
      </c>
      <c r="F29" s="48"/>
      <c r="G29" s="52">
        <f>E29*F29</f>
        <v>0</v>
      </c>
      <c r="H29" s="83" t="s">
        <v>404</v>
      </c>
      <c r="I29" s="423">
        <v>0</v>
      </c>
      <c r="J29" s="66">
        <f>E29*I29</f>
        <v>0</v>
      </c>
      <c r="K29" s="39"/>
      <c r="L29" s="40">
        <f>E29*K29</f>
        <v>0</v>
      </c>
      <c r="M29" s="37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29"/>
      <c r="Y29" s="29"/>
    </row>
    <row r="30" spans="1:26" s="11" customFormat="1" ht="14.25" customHeight="1" x14ac:dyDescent="0.25">
      <c r="A30" s="118"/>
      <c r="B30" s="77" t="s">
        <v>122</v>
      </c>
      <c r="C30" s="77" t="s">
        <v>130</v>
      </c>
      <c r="D30" s="78" t="s">
        <v>20</v>
      </c>
      <c r="E30" s="79">
        <v>0.43669999999999998</v>
      </c>
      <c r="F30" s="48"/>
      <c r="G30" s="52"/>
      <c r="H30" s="59"/>
      <c r="I30" s="423"/>
      <c r="J30" s="66"/>
      <c r="K30" s="39"/>
      <c r="L30" s="40"/>
      <c r="M30" s="37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29"/>
      <c r="Y30" s="29"/>
    </row>
    <row r="31" spans="1:26" s="11" customFormat="1" ht="14.25" customHeight="1" x14ac:dyDescent="0.25">
      <c r="A31" s="118"/>
      <c r="B31" s="77" t="s">
        <v>123</v>
      </c>
      <c r="C31" s="77" t="s">
        <v>131</v>
      </c>
      <c r="D31" s="78" t="s">
        <v>20</v>
      </c>
      <c r="E31" s="79">
        <v>0.51028999999999991</v>
      </c>
      <c r="F31" s="48"/>
      <c r="G31" s="52"/>
      <c r="H31" s="59"/>
      <c r="I31" s="423"/>
      <c r="J31" s="66"/>
      <c r="K31" s="39"/>
      <c r="L31" s="40"/>
      <c r="M31" s="37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29"/>
      <c r="Y31" s="29"/>
    </row>
    <row r="32" spans="1:26" s="11" customFormat="1" ht="14.25" customHeight="1" x14ac:dyDescent="0.25">
      <c r="A32" s="118"/>
      <c r="B32" s="77" t="s">
        <v>90</v>
      </c>
      <c r="C32" s="77" t="s">
        <v>293</v>
      </c>
      <c r="D32" s="78" t="s">
        <v>20</v>
      </c>
      <c r="E32" s="79">
        <v>0</v>
      </c>
      <c r="F32" s="48"/>
      <c r="G32" s="52"/>
      <c r="H32" s="59"/>
      <c r="I32" s="423"/>
      <c r="J32" s="66"/>
      <c r="K32" s="39"/>
      <c r="L32" s="40"/>
      <c r="M32" s="37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29"/>
      <c r="Y32" s="29"/>
    </row>
    <row r="33" spans="1:25" s="11" customFormat="1" ht="14.25" customHeight="1" x14ac:dyDescent="0.25">
      <c r="A33" s="118"/>
      <c r="B33" s="77" t="s">
        <v>91</v>
      </c>
      <c r="C33" s="77" t="s">
        <v>117</v>
      </c>
      <c r="D33" s="78" t="s">
        <v>20</v>
      </c>
      <c r="E33" s="79">
        <v>0.9375</v>
      </c>
      <c r="F33" s="48"/>
      <c r="G33" s="52"/>
      <c r="H33" s="59"/>
      <c r="I33" s="423"/>
      <c r="J33" s="66"/>
      <c r="K33" s="39"/>
      <c r="L33" s="40"/>
      <c r="M33" s="37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29"/>
      <c r="Y33" s="29"/>
    </row>
    <row r="34" spans="1:25" s="11" customFormat="1" ht="14.25" customHeight="1" x14ac:dyDescent="0.25">
      <c r="B34" s="77" t="s">
        <v>92</v>
      </c>
      <c r="C34" s="77" t="s">
        <v>118</v>
      </c>
      <c r="D34" s="78" t="s">
        <v>20</v>
      </c>
      <c r="E34" s="79">
        <v>1.25</v>
      </c>
      <c r="F34" s="48"/>
      <c r="G34" s="52"/>
      <c r="H34" s="59"/>
      <c r="I34" s="423"/>
      <c r="J34" s="66"/>
      <c r="K34" s="39"/>
      <c r="L34" s="40"/>
      <c r="M34" s="37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29"/>
      <c r="Y34" s="29"/>
    </row>
    <row r="35" spans="1:25" s="11" customFormat="1" ht="14.25" customHeight="1" x14ac:dyDescent="0.25">
      <c r="B35" s="77" t="s">
        <v>401</v>
      </c>
      <c r="C35" s="416" t="s">
        <v>402</v>
      </c>
      <c r="D35" s="78" t="s">
        <v>20</v>
      </c>
      <c r="E35" s="79">
        <v>13.824</v>
      </c>
      <c r="F35" s="48"/>
      <c r="G35" s="52"/>
      <c r="H35" s="59"/>
      <c r="I35" s="423"/>
      <c r="J35" s="66"/>
      <c r="K35" s="39"/>
      <c r="L35" s="40"/>
      <c r="M35" s="37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29"/>
      <c r="Y35" s="29"/>
    </row>
    <row r="36" spans="1:25" ht="24.75" customHeight="1" x14ac:dyDescent="0.25">
      <c r="A36" s="118">
        <f>A29+1</f>
        <v>17</v>
      </c>
      <c r="B36" s="47">
        <v>122251105</v>
      </c>
      <c r="C36" s="84" t="s">
        <v>114</v>
      </c>
      <c r="D36" s="110" t="s">
        <v>17</v>
      </c>
      <c r="E36" s="119">
        <v>337.11925500000001</v>
      </c>
      <c r="F36" s="48"/>
      <c r="G36" s="189">
        <f>F36*E36</f>
        <v>0</v>
      </c>
      <c r="H36" s="83" t="s">
        <v>404</v>
      </c>
      <c r="I36" s="423">
        <v>0</v>
      </c>
      <c r="J36" s="66">
        <f>E36*I36</f>
        <v>0</v>
      </c>
      <c r="K36" s="39"/>
      <c r="L36" s="40">
        <f>E36*K36</f>
        <v>0</v>
      </c>
    </row>
    <row r="37" spans="1:25" ht="15" customHeight="1" x14ac:dyDescent="0.25">
      <c r="A37" s="118"/>
      <c r="B37" s="223" t="s">
        <v>132</v>
      </c>
      <c r="C37" s="220">
        <f>E91</f>
        <v>735</v>
      </c>
      <c r="D37" s="143" t="s">
        <v>64</v>
      </c>
      <c r="E37" s="221">
        <v>360.15</v>
      </c>
      <c r="F37" s="195">
        <v>0.49</v>
      </c>
      <c r="G37" s="105"/>
      <c r="H37" s="106"/>
      <c r="I37" s="424"/>
      <c r="J37" s="107"/>
      <c r="K37" s="108"/>
      <c r="L37" s="109"/>
    </row>
    <row r="38" spans="1:25" ht="15" customHeight="1" x14ac:dyDescent="0.25">
      <c r="A38" s="118"/>
      <c r="B38" s="223" t="s">
        <v>133</v>
      </c>
      <c r="C38" s="220">
        <f>E92</f>
        <v>349.5</v>
      </c>
      <c r="D38" s="143" t="s">
        <v>64</v>
      </c>
      <c r="E38" s="221">
        <v>171.255</v>
      </c>
      <c r="F38" s="195">
        <f>0.15+0.34</f>
        <v>0.49</v>
      </c>
      <c r="G38" s="105"/>
      <c r="H38" s="106"/>
      <c r="I38" s="424"/>
      <c r="J38" s="107"/>
      <c r="K38" s="108"/>
      <c r="L38" s="109"/>
    </row>
    <row r="39" spans="1:25" ht="15" customHeight="1" x14ac:dyDescent="0.25">
      <c r="A39" s="118"/>
      <c r="B39" s="223" t="s">
        <v>134</v>
      </c>
      <c r="C39" s="222">
        <f>E93</f>
        <v>399</v>
      </c>
      <c r="D39" s="143" t="s">
        <v>64</v>
      </c>
      <c r="E39" s="221">
        <v>47.879999999999995</v>
      </c>
      <c r="F39" s="195">
        <v>0.12</v>
      </c>
      <c r="G39" s="105"/>
      <c r="H39" s="106"/>
      <c r="I39" s="424"/>
      <c r="J39" s="107"/>
      <c r="K39" s="108"/>
      <c r="L39" s="109"/>
    </row>
    <row r="40" spans="1:25" ht="15" customHeight="1" x14ac:dyDescent="0.25">
      <c r="A40" s="118"/>
      <c r="B40" s="223" t="s">
        <v>135</v>
      </c>
      <c r="C40" s="222">
        <f>E94</f>
        <v>0</v>
      </c>
      <c r="D40" s="143" t="s">
        <v>64</v>
      </c>
      <c r="E40" s="221">
        <v>0</v>
      </c>
      <c r="F40" s="195">
        <v>0.34</v>
      </c>
      <c r="G40" s="105"/>
      <c r="H40" s="106"/>
      <c r="I40" s="424"/>
      <c r="J40" s="107"/>
      <c r="K40" s="108"/>
      <c r="L40" s="109"/>
    </row>
    <row r="41" spans="1:25" ht="15" customHeight="1" x14ac:dyDescent="0.25">
      <c r="A41" s="118"/>
      <c r="B41" s="223" t="s">
        <v>136</v>
      </c>
      <c r="C41" s="222">
        <f>E95</f>
        <v>7.1550000000000002</v>
      </c>
      <c r="D41" s="143" t="s">
        <v>64</v>
      </c>
      <c r="E41" s="221">
        <v>3.5059499999999999</v>
      </c>
      <c r="F41" s="195">
        <v>0.49</v>
      </c>
      <c r="G41" s="105"/>
      <c r="H41" s="106"/>
      <c r="I41" s="424"/>
      <c r="J41" s="107"/>
      <c r="K41" s="108"/>
      <c r="L41" s="109"/>
    </row>
    <row r="42" spans="1:25" ht="15" customHeight="1" x14ac:dyDescent="0.25">
      <c r="A42" s="118"/>
      <c r="B42" s="223" t="s">
        <v>137</v>
      </c>
      <c r="C42" s="220">
        <f>F96</f>
        <v>604</v>
      </c>
      <c r="D42" s="143" t="s">
        <v>64</v>
      </c>
      <c r="E42" s="221">
        <v>103.58599999999998</v>
      </c>
      <c r="F42" s="195">
        <f>(0.5+0.2)*0.49*0.5</f>
        <v>0.17149999999999999</v>
      </c>
      <c r="G42" s="105"/>
      <c r="H42" s="106"/>
      <c r="I42" s="424"/>
      <c r="J42" s="107"/>
      <c r="K42" s="108"/>
      <c r="L42" s="109"/>
    </row>
    <row r="43" spans="1:25" ht="15" customHeight="1" x14ac:dyDescent="0.25">
      <c r="A43" s="118"/>
      <c r="B43" s="103"/>
      <c r="C43" s="225" t="s">
        <v>278</v>
      </c>
      <c r="D43" s="224"/>
      <c r="E43" s="226"/>
      <c r="F43" s="195"/>
      <c r="G43" s="105"/>
      <c r="H43" s="106"/>
      <c r="I43" s="424"/>
      <c r="J43" s="107"/>
      <c r="K43" s="108"/>
      <c r="L43" s="109"/>
      <c r="M43" s="100"/>
    </row>
    <row r="44" spans="1:25" ht="15" customHeight="1" x14ac:dyDescent="0.3">
      <c r="A44" s="118"/>
      <c r="B44" s="77" t="s">
        <v>277</v>
      </c>
      <c r="C44" s="222">
        <f>E27</f>
        <v>650</v>
      </c>
      <c r="D44" s="283" t="s">
        <v>64</v>
      </c>
      <c r="E44" s="221">
        <v>-130</v>
      </c>
      <c r="F44" s="195">
        <v>-0.2</v>
      </c>
      <c r="G44" s="105"/>
      <c r="H44" s="106"/>
      <c r="I44" s="424"/>
      <c r="J44" s="107"/>
      <c r="K44" s="108"/>
      <c r="L44" s="109"/>
      <c r="M44" s="100"/>
    </row>
    <row r="45" spans="1:25" ht="15" customHeight="1" x14ac:dyDescent="0.25">
      <c r="A45" s="118"/>
      <c r="B45" s="103" t="s">
        <v>138</v>
      </c>
      <c r="C45" s="227">
        <f>E11</f>
        <v>606</v>
      </c>
      <c r="D45" s="144" t="s">
        <v>64</v>
      </c>
      <c r="E45" s="228">
        <v>-181.79999999999998</v>
      </c>
      <c r="F45" s="195">
        <v>-0.3</v>
      </c>
      <c r="G45" s="105"/>
      <c r="H45" s="106"/>
      <c r="I45" s="424"/>
      <c r="J45" s="107"/>
      <c r="K45" s="108"/>
      <c r="L45" s="109"/>
      <c r="M45" s="100"/>
    </row>
    <row r="46" spans="1:25" ht="15" customHeight="1" x14ac:dyDescent="0.25">
      <c r="A46" s="118"/>
      <c r="B46" s="77"/>
      <c r="C46" s="145" t="s">
        <v>30</v>
      </c>
      <c r="D46" s="147" t="s">
        <v>38</v>
      </c>
      <c r="E46" s="146">
        <v>374.57695000000001</v>
      </c>
      <c r="F46" s="104"/>
      <c r="G46" s="105"/>
      <c r="H46" s="106"/>
      <c r="I46" s="424"/>
      <c r="J46" s="107"/>
      <c r="K46" s="108"/>
      <c r="L46" s="109"/>
    </row>
    <row r="47" spans="1:25" ht="15" customHeight="1" x14ac:dyDescent="0.25">
      <c r="A47" s="118"/>
      <c r="B47" s="77"/>
      <c r="C47" s="77" t="s">
        <v>139</v>
      </c>
      <c r="D47" s="135" t="s">
        <v>31</v>
      </c>
      <c r="E47" s="79">
        <v>337.11925500000001</v>
      </c>
      <c r="F47" s="77"/>
      <c r="G47" s="190"/>
      <c r="H47" s="77"/>
      <c r="I47" s="77"/>
      <c r="J47" s="77"/>
      <c r="K47" s="77"/>
      <c r="L47" s="77"/>
    </row>
    <row r="48" spans="1:25" ht="15" customHeight="1" x14ac:dyDescent="0.25">
      <c r="A48" s="118"/>
      <c r="B48" s="77"/>
      <c r="C48" s="77" t="s">
        <v>140</v>
      </c>
      <c r="D48" s="135" t="s">
        <v>31</v>
      </c>
      <c r="E48" s="79">
        <v>37.457695000000001</v>
      </c>
      <c r="F48" s="77"/>
      <c r="G48" s="190"/>
      <c r="H48" s="77"/>
      <c r="I48" s="77"/>
      <c r="J48" s="77"/>
      <c r="K48" s="77"/>
      <c r="L48" s="77"/>
    </row>
    <row r="49" spans="1:12" ht="16.5" customHeight="1" x14ac:dyDescent="0.25">
      <c r="A49" s="118">
        <f>A36+1</f>
        <v>18</v>
      </c>
      <c r="B49" s="47">
        <v>122211101</v>
      </c>
      <c r="C49" s="47" t="s">
        <v>58</v>
      </c>
      <c r="D49" s="43" t="s">
        <v>17</v>
      </c>
      <c r="E49" s="79">
        <v>37.457695000000001</v>
      </c>
      <c r="F49" s="48"/>
      <c r="G49" s="189">
        <f>F49*E49</f>
        <v>0</v>
      </c>
      <c r="H49" s="83" t="s">
        <v>404</v>
      </c>
      <c r="I49" s="423">
        <v>0</v>
      </c>
      <c r="J49" s="66">
        <f>E49*I49</f>
        <v>0</v>
      </c>
      <c r="K49" s="39"/>
      <c r="L49" s="40">
        <f>E49*K49</f>
        <v>0</v>
      </c>
    </row>
    <row r="50" spans="1:12" ht="16.5" customHeight="1" x14ac:dyDescent="0.25">
      <c r="A50" s="118">
        <f>A49+1</f>
        <v>19</v>
      </c>
      <c r="B50" s="140">
        <v>151101201</v>
      </c>
      <c r="C50" s="140" t="s">
        <v>62</v>
      </c>
      <c r="D50" s="186" t="s">
        <v>36</v>
      </c>
      <c r="E50" s="142">
        <v>567.20000000000005</v>
      </c>
      <c r="F50" s="120"/>
      <c r="G50" s="189">
        <f>F50*E50</f>
        <v>0</v>
      </c>
      <c r="H50" s="83" t="s">
        <v>404</v>
      </c>
      <c r="I50" s="113">
        <v>6.9999999999999999E-4</v>
      </c>
      <c r="J50" s="66">
        <f>E50*I50</f>
        <v>0.39704</v>
      </c>
      <c r="K50" s="39"/>
      <c r="L50" s="40">
        <f>E50*K50</f>
        <v>0</v>
      </c>
    </row>
    <row r="51" spans="1:12" ht="16.5" customHeight="1" x14ac:dyDescent="0.25">
      <c r="A51" s="118"/>
      <c r="B51" s="47"/>
      <c r="C51" s="77" t="s">
        <v>314</v>
      </c>
      <c r="D51" s="196" t="s">
        <v>80</v>
      </c>
      <c r="E51" s="79">
        <v>567.20000000000005</v>
      </c>
      <c r="F51" s="120"/>
      <c r="G51" s="189"/>
      <c r="H51" s="83" t="s">
        <v>404</v>
      </c>
      <c r="I51" s="113"/>
      <c r="J51" s="66"/>
      <c r="K51" s="39"/>
      <c r="L51" s="40"/>
    </row>
    <row r="52" spans="1:12" ht="16.5" customHeight="1" x14ac:dyDescent="0.25">
      <c r="A52" s="118">
        <f>A50+1</f>
        <v>20</v>
      </c>
      <c r="B52" s="140">
        <v>151101211</v>
      </c>
      <c r="C52" s="140" t="s">
        <v>63</v>
      </c>
      <c r="D52" s="186" t="s">
        <v>36</v>
      </c>
      <c r="E52" s="142">
        <v>567.20000000000005</v>
      </c>
      <c r="F52" s="120"/>
      <c r="G52" s="189">
        <f>F52*E52</f>
        <v>0</v>
      </c>
      <c r="H52" s="83" t="s">
        <v>404</v>
      </c>
      <c r="I52" s="215">
        <v>0</v>
      </c>
      <c r="J52" s="66">
        <f>E52*I52</f>
        <v>0</v>
      </c>
      <c r="K52" s="39"/>
      <c r="L52" s="40">
        <f>E52*K52</f>
        <v>0</v>
      </c>
    </row>
    <row r="53" spans="1:12" ht="26.25" customHeight="1" x14ac:dyDescent="0.25">
      <c r="A53" s="118">
        <f>A52+1</f>
        <v>21</v>
      </c>
      <c r="B53" s="140">
        <v>181951112</v>
      </c>
      <c r="C53" s="140" t="s">
        <v>84</v>
      </c>
      <c r="D53" s="186" t="s">
        <v>36</v>
      </c>
      <c r="E53" s="142">
        <v>1487.00595</v>
      </c>
      <c r="F53" s="120"/>
      <c r="G53" s="189">
        <f>F53*E53</f>
        <v>0</v>
      </c>
      <c r="H53" s="83" t="s">
        <v>404</v>
      </c>
      <c r="I53" s="215">
        <v>0</v>
      </c>
      <c r="J53" s="66">
        <f>E53*I53</f>
        <v>0</v>
      </c>
      <c r="K53" s="39"/>
      <c r="L53" s="40">
        <f>E53*K53</f>
        <v>0</v>
      </c>
    </row>
    <row r="54" spans="1:12" ht="16.5" customHeight="1" x14ac:dyDescent="0.25">
      <c r="A54" s="118"/>
      <c r="B54" s="77"/>
      <c r="C54" s="77" t="s">
        <v>116</v>
      </c>
      <c r="D54" s="77"/>
      <c r="E54" s="77"/>
      <c r="F54" s="77"/>
      <c r="G54" s="189"/>
      <c r="H54" s="189"/>
      <c r="I54" s="189"/>
      <c r="J54" s="66"/>
      <c r="K54" s="39"/>
      <c r="L54" s="40"/>
    </row>
    <row r="55" spans="1:12" ht="27" customHeight="1" x14ac:dyDescent="0.25">
      <c r="A55" s="118">
        <f>A53+1</f>
        <v>22</v>
      </c>
      <c r="B55" s="47">
        <v>162751117</v>
      </c>
      <c r="C55" s="84" t="s">
        <v>72</v>
      </c>
      <c r="D55" s="110" t="s">
        <v>17</v>
      </c>
      <c r="E55" s="119">
        <v>521.53543999999999</v>
      </c>
      <c r="F55" s="130"/>
      <c r="G55" s="208">
        <f t="shared" ref="G55:G59" si="11">F55*E55</f>
        <v>0</v>
      </c>
      <c r="H55" s="83" t="s">
        <v>404</v>
      </c>
      <c r="I55" s="215">
        <v>0</v>
      </c>
      <c r="J55" s="66">
        <f t="shared" ref="J55:J58" si="12">E55*I55</f>
        <v>0</v>
      </c>
      <c r="K55" s="39"/>
      <c r="L55" s="40">
        <f t="shared" ref="L55:L58" si="13">E55*K55</f>
        <v>0</v>
      </c>
    </row>
    <row r="56" spans="1:12" ht="27" customHeight="1" x14ac:dyDescent="0.25">
      <c r="A56" s="118">
        <f>A55+1</f>
        <v>23</v>
      </c>
      <c r="B56" s="47">
        <v>162751119</v>
      </c>
      <c r="C56" s="84" t="s">
        <v>398</v>
      </c>
      <c r="D56" s="110" t="s">
        <v>17</v>
      </c>
      <c r="E56" s="119">
        <v>5215.3544000000002</v>
      </c>
      <c r="F56" s="130"/>
      <c r="G56" s="208">
        <f t="shared" si="11"/>
        <v>0</v>
      </c>
      <c r="H56" s="83" t="s">
        <v>404</v>
      </c>
      <c r="I56" s="215">
        <v>0</v>
      </c>
      <c r="J56" s="66">
        <f t="shared" si="12"/>
        <v>0</v>
      </c>
      <c r="K56" s="39"/>
      <c r="L56" s="40">
        <f t="shared" si="13"/>
        <v>0</v>
      </c>
    </row>
    <row r="57" spans="1:12" ht="27" customHeight="1" x14ac:dyDescent="0.25">
      <c r="A57" s="118">
        <f t="shared" ref="A57:A59" si="14">A56+1</f>
        <v>24</v>
      </c>
      <c r="B57" s="47">
        <v>171152111</v>
      </c>
      <c r="C57" s="84" t="s">
        <v>279</v>
      </c>
      <c r="D57" s="110" t="s">
        <v>17</v>
      </c>
      <c r="E57" s="119">
        <v>5</v>
      </c>
      <c r="F57" s="124"/>
      <c r="G57" s="208">
        <f t="shared" si="11"/>
        <v>0</v>
      </c>
      <c r="H57" s="83" t="s">
        <v>404</v>
      </c>
      <c r="I57" s="215">
        <v>0</v>
      </c>
      <c r="J57" s="66">
        <f t="shared" si="12"/>
        <v>0</v>
      </c>
      <c r="K57" s="39"/>
      <c r="L57" s="40">
        <f t="shared" si="13"/>
        <v>0</v>
      </c>
    </row>
    <row r="58" spans="1:12" ht="18.75" customHeight="1" x14ac:dyDescent="0.25">
      <c r="A58" s="118">
        <f t="shared" si="14"/>
        <v>25</v>
      </c>
      <c r="B58" s="47">
        <v>171251201</v>
      </c>
      <c r="C58" s="84" t="s">
        <v>73</v>
      </c>
      <c r="D58" s="110" t="s">
        <v>17</v>
      </c>
      <c r="E58" s="119">
        <v>521.53543999999999</v>
      </c>
      <c r="F58" s="124"/>
      <c r="G58" s="208">
        <f t="shared" si="11"/>
        <v>0</v>
      </c>
      <c r="H58" s="83" t="s">
        <v>404</v>
      </c>
      <c r="I58" s="215">
        <v>0</v>
      </c>
      <c r="J58" s="66">
        <f t="shared" si="12"/>
        <v>0</v>
      </c>
      <c r="K58" s="39"/>
      <c r="L58" s="40">
        <f t="shared" si="13"/>
        <v>0</v>
      </c>
    </row>
    <row r="59" spans="1:12" ht="25.5" customHeight="1" x14ac:dyDescent="0.25">
      <c r="A59" s="118">
        <f t="shared" si="14"/>
        <v>26</v>
      </c>
      <c r="B59" s="47">
        <v>171201221</v>
      </c>
      <c r="C59" s="84" t="s">
        <v>28</v>
      </c>
      <c r="D59" s="110" t="s">
        <v>16</v>
      </c>
      <c r="E59" s="119">
        <v>938.76379199999997</v>
      </c>
      <c r="F59" s="124"/>
      <c r="G59" s="208">
        <f t="shared" si="11"/>
        <v>0</v>
      </c>
      <c r="H59" s="83" t="s">
        <v>404</v>
      </c>
      <c r="I59" s="215">
        <v>0</v>
      </c>
      <c r="J59" s="66">
        <f t="shared" ref="J59" si="15">E59*I59</f>
        <v>0</v>
      </c>
      <c r="K59" s="39"/>
      <c r="L59" s="40">
        <f t="shared" ref="L59" si="16">E59*K59</f>
        <v>0</v>
      </c>
    </row>
    <row r="60" spans="1:12" ht="16.5" customHeight="1" x14ac:dyDescent="0.25">
      <c r="B60" s="127"/>
      <c r="C60" s="127"/>
      <c r="D60" s="127"/>
      <c r="E60" s="128"/>
      <c r="F60" s="80"/>
      <c r="H60" s="60"/>
    </row>
    <row r="61" spans="1:12" ht="19.5" customHeight="1" x14ac:dyDescent="0.25">
      <c r="B61" s="46"/>
      <c r="C61" s="30" t="s">
        <v>106</v>
      </c>
      <c r="G61" s="51">
        <f>SUBTOTAL(9,G62:G74)</f>
        <v>0</v>
      </c>
      <c r="H61" s="61"/>
      <c r="I61" s="419"/>
      <c r="J61" s="67">
        <f>SUBTOTAL(9,J62:J63)</f>
        <v>12.864304506549999</v>
      </c>
      <c r="L61" s="67">
        <f>SUBTOTAL(9,L62:L63)</f>
        <v>0</v>
      </c>
    </row>
    <row r="62" spans="1:12" ht="16.5" customHeight="1" x14ac:dyDescent="0.25">
      <c r="A62" s="118">
        <f>A59+1</f>
        <v>27</v>
      </c>
      <c r="B62" s="47">
        <v>274313811</v>
      </c>
      <c r="C62" s="47" t="s">
        <v>98</v>
      </c>
      <c r="D62" s="43" t="s">
        <v>17</v>
      </c>
      <c r="E62" s="209">
        <v>5.2436949999999998</v>
      </c>
      <c r="F62" s="48"/>
      <c r="G62" s="208">
        <f t="shared" ref="G62" si="17">F62*E62</f>
        <v>0</v>
      </c>
      <c r="H62" s="83" t="s">
        <v>404</v>
      </c>
      <c r="I62" s="114">
        <v>2.45329</v>
      </c>
      <c r="J62" s="66">
        <f t="shared" ref="J62" si="18">E62*I62</f>
        <v>12.864304506549999</v>
      </c>
      <c r="K62" s="39"/>
      <c r="L62" s="40">
        <f t="shared" ref="L62" si="19">E62*K62</f>
        <v>0</v>
      </c>
    </row>
    <row r="63" spans="1:12" ht="16.5" customHeight="1" x14ac:dyDescent="0.25">
      <c r="A63" s="118"/>
      <c r="B63" s="77" t="s">
        <v>122</v>
      </c>
      <c r="C63" s="77" t="s">
        <v>141</v>
      </c>
      <c r="D63" s="78" t="s">
        <v>20</v>
      </c>
      <c r="E63" s="79">
        <v>1.4093500000000001</v>
      </c>
      <c r="F63" s="48"/>
      <c r="G63" s="44"/>
      <c r="H63" s="44"/>
      <c r="I63" s="44"/>
      <c r="J63" s="66">
        <f t="shared" ref="J63:J66" si="20">E63*I63</f>
        <v>0</v>
      </c>
      <c r="K63" s="39"/>
      <c r="L63" s="40">
        <f t="shared" ref="L63:L66" si="21">E63*K63</f>
        <v>0</v>
      </c>
    </row>
    <row r="64" spans="1:12" ht="16.5" customHeight="1" x14ac:dyDescent="0.25">
      <c r="A64" s="118"/>
      <c r="B64" s="77" t="s">
        <v>123</v>
      </c>
      <c r="C64" s="77" t="s">
        <v>142</v>
      </c>
      <c r="D64" s="78" t="s">
        <v>20</v>
      </c>
      <c r="E64" s="79">
        <v>1.6468449999999997</v>
      </c>
      <c r="F64" s="48"/>
      <c r="G64" s="44"/>
      <c r="H64" s="44"/>
      <c r="I64" s="44"/>
      <c r="J64" s="66"/>
      <c r="K64" s="39"/>
      <c r="L64" s="40"/>
    </row>
    <row r="65" spans="1:12" ht="16.5" customHeight="1" x14ac:dyDescent="0.25">
      <c r="A65" s="118"/>
      <c r="B65" s="77" t="s">
        <v>90</v>
      </c>
      <c r="C65" s="77" t="s">
        <v>293</v>
      </c>
      <c r="D65" s="78" t="s">
        <v>20</v>
      </c>
      <c r="E65" s="79">
        <v>0</v>
      </c>
      <c r="F65" s="48"/>
      <c r="G65" s="44"/>
      <c r="H65" s="44"/>
      <c r="I65" s="44"/>
      <c r="J65" s="66">
        <f t="shared" si="20"/>
        <v>0</v>
      </c>
      <c r="K65" s="39"/>
      <c r="L65" s="40">
        <f t="shared" si="21"/>
        <v>0</v>
      </c>
    </row>
    <row r="66" spans="1:12" ht="16.5" customHeight="1" x14ac:dyDescent="0.25">
      <c r="A66" s="118"/>
      <c r="B66" s="77" t="s">
        <v>91</v>
      </c>
      <c r="C66" s="77" t="s">
        <v>117</v>
      </c>
      <c r="D66" s="78" t="s">
        <v>20</v>
      </c>
      <c r="E66" s="79">
        <v>0.9375</v>
      </c>
      <c r="F66" s="48"/>
      <c r="G66" s="44"/>
      <c r="H66" s="44"/>
      <c r="I66" s="44"/>
      <c r="J66" s="66">
        <f t="shared" si="20"/>
        <v>0</v>
      </c>
      <c r="K66" s="39"/>
      <c r="L66" s="40">
        <f t="shared" si="21"/>
        <v>0</v>
      </c>
    </row>
    <row r="67" spans="1:12" ht="16.5" customHeight="1" x14ac:dyDescent="0.25">
      <c r="A67" s="118"/>
      <c r="B67" s="77" t="s">
        <v>92</v>
      </c>
      <c r="C67" s="77" t="s">
        <v>118</v>
      </c>
      <c r="D67" s="78" t="s">
        <v>20</v>
      </c>
      <c r="E67" s="79">
        <v>1.25</v>
      </c>
      <c r="F67" s="48"/>
      <c r="G67" s="44"/>
      <c r="H67" s="44"/>
      <c r="I67" s="44"/>
      <c r="J67" s="66">
        <f t="shared" ref="J67" si="22">E67*I67</f>
        <v>0</v>
      </c>
      <c r="K67" s="39"/>
      <c r="L67" s="40">
        <f t="shared" ref="L67" si="23">E67*K67</f>
        <v>0</v>
      </c>
    </row>
    <row r="68" spans="1:12" ht="16.5" customHeight="1" x14ac:dyDescent="0.25">
      <c r="A68" s="118">
        <f>A62+1</f>
        <v>28</v>
      </c>
      <c r="B68" s="47">
        <v>274351121</v>
      </c>
      <c r="C68" s="47" t="s">
        <v>99</v>
      </c>
      <c r="D68" s="43" t="s">
        <v>19</v>
      </c>
      <c r="E68" s="79">
        <v>27</v>
      </c>
      <c r="F68" s="197"/>
      <c r="G68" s="208">
        <f t="shared" ref="G68" si="24">F68*E68</f>
        <v>0</v>
      </c>
      <c r="H68" s="83" t="s">
        <v>404</v>
      </c>
      <c r="I68" s="44">
        <v>2.6900000000000001E-3</v>
      </c>
      <c r="J68" s="66">
        <f t="shared" ref="J68:J74" si="25">E68*I68</f>
        <v>7.263E-2</v>
      </c>
      <c r="K68" s="39"/>
      <c r="L68" s="40">
        <f t="shared" ref="L68:L74" si="26">E68*K68</f>
        <v>0</v>
      </c>
    </row>
    <row r="69" spans="1:12" ht="16.5" customHeight="1" x14ac:dyDescent="0.25">
      <c r="A69" s="118"/>
      <c r="B69" s="77" t="s">
        <v>122</v>
      </c>
      <c r="C69" s="77" t="s">
        <v>143</v>
      </c>
      <c r="D69" s="78" t="s">
        <v>125</v>
      </c>
      <c r="E69" s="79">
        <v>5.1449999999999996</v>
      </c>
      <c r="F69" s="197"/>
      <c r="G69" s="208"/>
      <c r="H69" s="59"/>
      <c r="I69" s="44"/>
      <c r="J69" s="66"/>
      <c r="K69" s="39"/>
      <c r="L69" s="40"/>
    </row>
    <row r="70" spans="1:12" ht="16.5" customHeight="1" x14ac:dyDescent="0.25">
      <c r="A70" s="118"/>
      <c r="B70" s="77" t="s">
        <v>123</v>
      </c>
      <c r="C70" s="77" t="s">
        <v>144</v>
      </c>
      <c r="D70" s="78" t="s">
        <v>20</v>
      </c>
      <c r="E70" s="79">
        <v>6.8502000000000001</v>
      </c>
      <c r="F70" s="197"/>
      <c r="G70" s="208"/>
      <c r="H70" s="59"/>
      <c r="I70" s="44"/>
      <c r="J70" s="66"/>
      <c r="K70" s="39"/>
      <c r="L70" s="40"/>
    </row>
    <row r="71" spans="1:12" ht="16.5" customHeight="1" x14ac:dyDescent="0.25">
      <c r="A71" s="118"/>
      <c r="B71" s="77" t="s">
        <v>90</v>
      </c>
      <c r="C71" s="77" t="s">
        <v>294</v>
      </c>
      <c r="D71" s="78" t="s">
        <v>20</v>
      </c>
      <c r="E71" s="79">
        <v>0</v>
      </c>
      <c r="F71" s="197"/>
      <c r="G71" s="44"/>
      <c r="H71" s="44"/>
      <c r="I71" s="44"/>
      <c r="J71" s="66">
        <f t="shared" si="25"/>
        <v>0</v>
      </c>
      <c r="K71" s="39"/>
      <c r="L71" s="40">
        <f t="shared" si="26"/>
        <v>0</v>
      </c>
    </row>
    <row r="72" spans="1:12" ht="16.5" customHeight="1" x14ac:dyDescent="0.25">
      <c r="A72" s="118"/>
      <c r="B72" s="77" t="s">
        <v>91</v>
      </c>
      <c r="C72" s="77" t="s">
        <v>390</v>
      </c>
      <c r="D72" s="78" t="s">
        <v>20</v>
      </c>
      <c r="E72" s="79">
        <v>15</v>
      </c>
      <c r="F72" s="197"/>
      <c r="G72" s="44"/>
      <c r="H72" s="44"/>
      <c r="I72" s="44"/>
      <c r="J72" s="66">
        <f t="shared" si="25"/>
        <v>0</v>
      </c>
      <c r="K72" s="39"/>
      <c r="L72" s="40">
        <f t="shared" si="26"/>
        <v>0</v>
      </c>
    </row>
    <row r="73" spans="1:12" ht="16.5" customHeight="1" x14ac:dyDescent="0.25">
      <c r="A73" s="118"/>
      <c r="B73" s="77" t="s">
        <v>92</v>
      </c>
      <c r="C73" s="77" t="s">
        <v>295</v>
      </c>
      <c r="D73" s="78" t="s">
        <v>20</v>
      </c>
      <c r="E73" s="79">
        <v>12</v>
      </c>
      <c r="F73" s="197"/>
      <c r="G73" s="44"/>
      <c r="H73" s="44"/>
      <c r="I73" s="44"/>
      <c r="J73" s="66">
        <f t="shared" si="25"/>
        <v>0</v>
      </c>
      <c r="K73" s="39"/>
      <c r="L73" s="40">
        <f t="shared" si="26"/>
        <v>0</v>
      </c>
    </row>
    <row r="74" spans="1:12" ht="16.5" customHeight="1" x14ac:dyDescent="0.25">
      <c r="A74" s="118">
        <f>A68+1</f>
        <v>29</v>
      </c>
      <c r="B74" s="47">
        <v>274351122</v>
      </c>
      <c r="C74" s="47" t="s">
        <v>100</v>
      </c>
      <c r="D74" s="43" t="s">
        <v>19</v>
      </c>
      <c r="E74" s="142">
        <v>27</v>
      </c>
      <c r="F74" s="197"/>
      <c r="G74" s="208">
        <f t="shared" ref="G74" si="27">F74*E74</f>
        <v>0</v>
      </c>
      <c r="H74" s="83" t="s">
        <v>404</v>
      </c>
      <c r="I74" s="44">
        <v>0</v>
      </c>
      <c r="J74" s="66">
        <f t="shared" si="25"/>
        <v>0</v>
      </c>
      <c r="K74" s="39"/>
      <c r="L74" s="40">
        <f t="shared" si="26"/>
        <v>0</v>
      </c>
    </row>
    <row r="75" spans="1:12" ht="16.5" customHeight="1" x14ac:dyDescent="0.25">
      <c r="A75" s="207"/>
      <c r="B75" s="80"/>
      <c r="C75" s="80"/>
      <c r="D75" s="80"/>
      <c r="E75" s="80"/>
      <c r="F75" s="80"/>
      <c r="G75" s="214"/>
      <c r="H75" s="214"/>
      <c r="I75" s="214"/>
    </row>
    <row r="76" spans="1:12" ht="19.5" customHeight="1" x14ac:dyDescent="0.25">
      <c r="B76" s="46"/>
      <c r="C76" s="30" t="s">
        <v>107</v>
      </c>
      <c r="G76" s="51">
        <f>SUBTOTAL(9,G77:G89)</f>
        <v>0</v>
      </c>
      <c r="H76" s="61"/>
      <c r="I76" s="419"/>
      <c r="J76" s="67">
        <f>SUBTOTAL(9,J77:J89)</f>
        <v>8.3160427436250011</v>
      </c>
      <c r="L76" s="67">
        <f>SUBTOTAL(9,L77:L89)</f>
        <v>0</v>
      </c>
    </row>
    <row r="77" spans="1:12" s="134" customFormat="1" ht="28.5" customHeight="1" x14ac:dyDescent="0.25">
      <c r="A77" s="118">
        <f>A74+1</f>
        <v>30</v>
      </c>
      <c r="B77" s="47" t="s">
        <v>77</v>
      </c>
      <c r="C77" s="47" t="s">
        <v>296</v>
      </c>
      <c r="D77" s="110" t="s">
        <v>17</v>
      </c>
      <c r="E77" s="209">
        <v>3.1153762499999997</v>
      </c>
      <c r="F77" s="62"/>
      <c r="G77" s="52">
        <f>E77*F77</f>
        <v>0</v>
      </c>
      <c r="H77" s="45" t="s">
        <v>54</v>
      </c>
      <c r="I77" s="58">
        <v>2.4533</v>
      </c>
      <c r="J77" s="69">
        <f>I77*E77</f>
        <v>7.6429525541249994</v>
      </c>
      <c r="K77" s="133"/>
      <c r="L77" s="40">
        <f>E77*K77</f>
        <v>0</v>
      </c>
    </row>
    <row r="78" spans="1:12" s="134" customFormat="1" ht="16.5" customHeight="1" x14ac:dyDescent="0.25">
      <c r="A78" s="118"/>
      <c r="B78" s="210" t="s">
        <v>76</v>
      </c>
      <c r="C78" s="77" t="s">
        <v>75</v>
      </c>
      <c r="D78" s="110"/>
      <c r="E78" s="209"/>
      <c r="F78" s="62"/>
      <c r="G78" s="52"/>
      <c r="H78" s="45"/>
      <c r="I78" s="58"/>
      <c r="J78" s="69"/>
      <c r="K78" s="133"/>
      <c r="L78" s="40"/>
    </row>
    <row r="79" spans="1:12" s="134" customFormat="1" ht="16.5" customHeight="1" x14ac:dyDescent="0.25">
      <c r="A79" s="125"/>
      <c r="B79" s="77" t="s">
        <v>122</v>
      </c>
      <c r="C79" s="77" t="s">
        <v>145</v>
      </c>
      <c r="D79" s="135" t="s">
        <v>20</v>
      </c>
      <c r="E79" s="79">
        <v>1.4173124999999998</v>
      </c>
      <c r="F79" s="62"/>
      <c r="G79" s="52"/>
      <c r="H79" s="45"/>
      <c r="I79" s="58"/>
      <c r="J79" s="69"/>
      <c r="K79" s="133"/>
      <c r="L79" s="40"/>
    </row>
    <row r="80" spans="1:12" s="134" customFormat="1" ht="16.5" customHeight="1" x14ac:dyDescent="0.25">
      <c r="A80" s="125"/>
      <c r="B80" s="77" t="s">
        <v>123</v>
      </c>
      <c r="C80" s="77" t="s">
        <v>146</v>
      </c>
      <c r="D80" s="135" t="s">
        <v>20</v>
      </c>
      <c r="E80" s="79">
        <v>1.6980637499999998</v>
      </c>
      <c r="F80" s="62"/>
      <c r="G80" s="52"/>
      <c r="H80" s="45"/>
      <c r="I80" s="58"/>
      <c r="J80" s="69"/>
      <c r="K80" s="133"/>
      <c r="L80" s="40"/>
    </row>
    <row r="81" spans="1:13" s="134" customFormat="1" ht="16.5" customHeight="1" x14ac:dyDescent="0.25">
      <c r="A81" s="118">
        <f>A77+1</f>
        <v>31</v>
      </c>
      <c r="B81" s="47">
        <v>311351121</v>
      </c>
      <c r="C81" s="47" t="s">
        <v>14</v>
      </c>
      <c r="D81" s="110" t="s">
        <v>19</v>
      </c>
      <c r="E81" s="62">
        <v>37.978949999999998</v>
      </c>
      <c r="F81" s="48"/>
      <c r="G81" s="52">
        <f>E81*F81</f>
        <v>0</v>
      </c>
      <c r="H81" s="83" t="s">
        <v>404</v>
      </c>
      <c r="I81" s="58">
        <v>2.7499999999999998E-3</v>
      </c>
      <c r="J81" s="69">
        <f>I81*E81</f>
        <v>0.10444211249999999</v>
      </c>
      <c r="K81" s="133"/>
      <c r="L81" s="40">
        <f>E81*K81</f>
        <v>0</v>
      </c>
    </row>
    <row r="82" spans="1:13" s="134" customFormat="1" ht="16.5" customHeight="1" x14ac:dyDescent="0.25">
      <c r="A82" s="125"/>
      <c r="B82" s="77" t="s">
        <v>122</v>
      </c>
      <c r="C82" s="77" t="s">
        <v>147</v>
      </c>
      <c r="D82" s="135" t="s">
        <v>125</v>
      </c>
      <c r="E82" s="79">
        <v>17.506500000000003</v>
      </c>
      <c r="F82" s="48"/>
      <c r="G82" s="52"/>
      <c r="H82" s="45"/>
      <c r="I82" s="58"/>
      <c r="J82" s="69"/>
      <c r="K82" s="133"/>
      <c r="L82" s="40"/>
    </row>
    <row r="83" spans="1:13" s="134" customFormat="1" ht="16.5" customHeight="1" x14ac:dyDescent="0.25">
      <c r="A83" s="125"/>
      <c r="B83" s="77" t="s">
        <v>123</v>
      </c>
      <c r="C83" s="77" t="s">
        <v>148</v>
      </c>
      <c r="D83" s="135" t="s">
        <v>125</v>
      </c>
      <c r="E83" s="79">
        <v>20.472449999999998</v>
      </c>
      <c r="F83" s="48"/>
      <c r="G83" s="52"/>
      <c r="H83" s="45"/>
      <c r="I83" s="58"/>
      <c r="J83" s="69"/>
      <c r="K83" s="133"/>
      <c r="L83" s="40"/>
    </row>
    <row r="84" spans="1:13" s="134" customFormat="1" ht="16.5" customHeight="1" x14ac:dyDescent="0.25">
      <c r="A84" s="118">
        <f>A81+1</f>
        <v>32</v>
      </c>
      <c r="B84" s="47">
        <v>311351122</v>
      </c>
      <c r="C84" s="47" t="s">
        <v>15</v>
      </c>
      <c r="D84" s="110" t="s">
        <v>19</v>
      </c>
      <c r="E84" s="62">
        <v>37.978949999999998</v>
      </c>
      <c r="F84" s="62"/>
      <c r="G84" s="52">
        <f>E84*F84</f>
        <v>0</v>
      </c>
      <c r="H84" s="83" t="s">
        <v>404</v>
      </c>
      <c r="I84" s="58">
        <v>0</v>
      </c>
      <c r="J84" s="69">
        <f>I84*E84</f>
        <v>0</v>
      </c>
      <c r="K84" s="133"/>
      <c r="L84" s="40">
        <f>E84*K84</f>
        <v>0</v>
      </c>
    </row>
    <row r="85" spans="1:13" s="134" customFormat="1" ht="16.5" customHeight="1" x14ac:dyDescent="0.25">
      <c r="A85" s="118">
        <f>A84+1</f>
        <v>33</v>
      </c>
      <c r="B85" s="47">
        <v>311361821</v>
      </c>
      <c r="C85" s="47" t="s">
        <v>149</v>
      </c>
      <c r="D85" s="110" t="s">
        <v>16</v>
      </c>
      <c r="E85" s="136">
        <v>0.4491</v>
      </c>
      <c r="F85" s="48"/>
      <c r="G85" s="52">
        <f>E85*F85</f>
        <v>0</v>
      </c>
      <c r="H85" s="83" t="s">
        <v>404</v>
      </c>
      <c r="I85" s="58">
        <v>1.04922</v>
      </c>
      <c r="J85" s="69">
        <f>I85*E85</f>
        <v>0.47120470200000003</v>
      </c>
      <c r="K85" s="133"/>
      <c r="L85" s="40">
        <f>E85*K85</f>
        <v>0</v>
      </c>
    </row>
    <row r="86" spans="1:13" s="134" customFormat="1" ht="24.75" customHeight="1" x14ac:dyDescent="0.25">
      <c r="A86" s="118">
        <f t="shared" ref="A86" si="28">A85+1</f>
        <v>34</v>
      </c>
      <c r="B86" s="140">
        <v>985331113</v>
      </c>
      <c r="C86" s="140" t="s">
        <v>321</v>
      </c>
      <c r="D86" s="320" t="s">
        <v>25</v>
      </c>
      <c r="E86" s="152">
        <v>4.8</v>
      </c>
      <c r="F86" s="305"/>
      <c r="G86" s="52">
        <f>E86*F86</f>
        <v>0</v>
      </c>
      <c r="H86" s="83" t="s">
        <v>404</v>
      </c>
      <c r="I86" s="58">
        <v>5.1999999999999995E-4</v>
      </c>
      <c r="J86" s="69">
        <f>I86*E86</f>
        <v>2.4959999999999995E-3</v>
      </c>
      <c r="K86" s="133"/>
      <c r="L86" s="40"/>
      <c r="M86" s="41"/>
    </row>
    <row r="87" spans="1:13" s="134" customFormat="1" ht="15" customHeight="1" x14ac:dyDescent="0.25">
      <c r="A87" s="118"/>
      <c r="B87" s="321" t="s">
        <v>322</v>
      </c>
      <c r="C87" s="321" t="s">
        <v>323</v>
      </c>
      <c r="D87" s="320"/>
      <c r="E87" s="311"/>
      <c r="F87" s="305"/>
      <c r="G87" s="52"/>
      <c r="H87" s="45"/>
      <c r="I87" s="58"/>
      <c r="J87" s="69"/>
      <c r="K87" s="133"/>
      <c r="L87" s="40"/>
      <c r="M87" s="41"/>
    </row>
    <row r="88" spans="1:13" s="134" customFormat="1" ht="52.5" customHeight="1" x14ac:dyDescent="0.25">
      <c r="A88" s="118">
        <f>A86+1</f>
        <v>35</v>
      </c>
      <c r="B88" s="47" t="s">
        <v>78</v>
      </c>
      <c r="C88" s="47" t="s">
        <v>297</v>
      </c>
      <c r="D88" s="110" t="s">
        <v>19</v>
      </c>
      <c r="E88" s="62">
        <v>37.978949999999998</v>
      </c>
      <c r="F88" s="62"/>
      <c r="G88" s="52">
        <f>E88*F88</f>
        <v>0</v>
      </c>
      <c r="H88" s="45" t="s">
        <v>54</v>
      </c>
      <c r="I88" s="58">
        <v>2.5000000000000001E-3</v>
      </c>
      <c r="J88" s="69">
        <f>I88*E88</f>
        <v>9.4947375000000001E-2</v>
      </c>
      <c r="K88" s="133"/>
      <c r="L88" s="40">
        <f>E88*K88</f>
        <v>0</v>
      </c>
    </row>
    <row r="89" spans="1:13" ht="16.5" customHeight="1" x14ac:dyDescent="0.25">
      <c r="G89"/>
      <c r="M89" s="134"/>
    </row>
    <row r="90" spans="1:13" ht="16.5" customHeight="1" x14ac:dyDescent="0.25">
      <c r="B90" s="46"/>
      <c r="C90" s="319" t="s">
        <v>320</v>
      </c>
      <c r="G90" s="51">
        <f>SUBTOTAL(9,G97:G132)</f>
        <v>0</v>
      </c>
      <c r="H90" s="61"/>
      <c r="I90" s="419"/>
      <c r="J90" s="67">
        <f>SUBTOTAL(9,J97:J132)</f>
        <v>1535.2331688000002</v>
      </c>
      <c r="L90" s="67">
        <f>SUBTOTAL(9,L97:L132)</f>
        <v>0</v>
      </c>
      <c r="M90" s="134"/>
    </row>
    <row r="91" spans="1:13" ht="17.25" customHeight="1" x14ac:dyDescent="0.25">
      <c r="B91" s="46"/>
      <c r="C91" s="312" t="s">
        <v>315</v>
      </c>
      <c r="D91" s="313" t="s">
        <v>37</v>
      </c>
      <c r="E91" s="314">
        <v>735</v>
      </c>
      <c r="F91" s="315" t="s">
        <v>124</v>
      </c>
      <c r="G91" s="316"/>
      <c r="H91" s="61"/>
      <c r="I91" s="419"/>
      <c r="J91" s="67"/>
      <c r="L91" s="67"/>
      <c r="M91" s="134"/>
    </row>
    <row r="92" spans="1:13" ht="17.25" customHeight="1" x14ac:dyDescent="0.25">
      <c r="B92" s="46"/>
      <c r="C92" s="312" t="s">
        <v>316</v>
      </c>
      <c r="D92" s="313" t="s">
        <v>37</v>
      </c>
      <c r="E92" s="314">
        <v>349.5</v>
      </c>
      <c r="F92" s="317"/>
      <c r="G92" s="318"/>
      <c r="H92" s="61"/>
      <c r="I92" s="419"/>
      <c r="J92" s="67"/>
      <c r="L92" s="67"/>
      <c r="M92" s="134"/>
    </row>
    <row r="93" spans="1:13" ht="17.25" customHeight="1" x14ac:dyDescent="0.25">
      <c r="B93" s="46"/>
      <c r="C93" s="312" t="s">
        <v>317</v>
      </c>
      <c r="D93" s="313" t="s">
        <v>37</v>
      </c>
      <c r="E93" s="314">
        <v>399</v>
      </c>
      <c r="F93" s="317"/>
      <c r="G93" s="318"/>
      <c r="H93" s="61"/>
      <c r="I93" s="419"/>
      <c r="J93" s="67"/>
      <c r="L93" s="67"/>
      <c r="M93" s="134"/>
    </row>
    <row r="94" spans="1:13" ht="16.5" customHeight="1" x14ac:dyDescent="0.25">
      <c r="B94" s="46"/>
      <c r="C94" s="312" t="s">
        <v>318</v>
      </c>
      <c r="D94" s="313" t="s">
        <v>37</v>
      </c>
      <c r="E94" s="314">
        <v>0</v>
      </c>
      <c r="F94" s="317"/>
      <c r="G94" s="318"/>
      <c r="H94" s="61"/>
      <c r="I94" s="419"/>
      <c r="J94" s="67"/>
      <c r="L94" s="67"/>
      <c r="M94" s="134"/>
    </row>
    <row r="95" spans="1:13" ht="16.5" customHeight="1" x14ac:dyDescent="0.25">
      <c r="B95" s="46"/>
      <c r="C95" s="312" t="s">
        <v>319</v>
      </c>
      <c r="D95" s="313" t="s">
        <v>37</v>
      </c>
      <c r="E95" s="314">
        <v>7.1550000000000002</v>
      </c>
      <c r="F95" s="317"/>
      <c r="G95" s="318"/>
      <c r="H95" s="61"/>
      <c r="I95" s="419"/>
      <c r="J95" s="67"/>
      <c r="L95" s="67"/>
      <c r="M95" s="134"/>
    </row>
    <row r="96" spans="1:13" ht="16.5" customHeight="1" x14ac:dyDescent="0.25">
      <c r="B96" s="46"/>
      <c r="C96" s="312" t="s">
        <v>403</v>
      </c>
      <c r="D96" s="313" t="s">
        <v>37</v>
      </c>
      <c r="E96" s="314">
        <v>302</v>
      </c>
      <c r="F96" s="317">
        <f>E96/0.5</f>
        <v>604</v>
      </c>
      <c r="G96" s="318" t="s">
        <v>55</v>
      </c>
      <c r="H96" s="61"/>
      <c r="I96" s="419"/>
      <c r="J96" s="67"/>
      <c r="L96" s="67"/>
      <c r="M96" s="134"/>
    </row>
    <row r="97" spans="1:14" ht="51" customHeight="1" x14ac:dyDescent="0.25">
      <c r="A97" s="137">
        <f>A88+1</f>
        <v>36</v>
      </c>
      <c r="B97" s="47">
        <v>591211111</v>
      </c>
      <c r="C97" s="47" t="s">
        <v>83</v>
      </c>
      <c r="D97" s="186" t="s">
        <v>36</v>
      </c>
      <c r="E97" s="119">
        <v>735</v>
      </c>
      <c r="F97" s="197"/>
      <c r="G97" s="189">
        <f>F97*E97</f>
        <v>0</v>
      </c>
      <c r="H97" s="83" t="s">
        <v>404</v>
      </c>
      <c r="I97" s="114">
        <v>0.1837</v>
      </c>
      <c r="J97" s="69">
        <f>I97*E97</f>
        <v>135.01949999999999</v>
      </c>
      <c r="K97" s="133"/>
      <c r="L97" s="40">
        <f>E97*K97</f>
        <v>0</v>
      </c>
      <c r="M97" s="41"/>
      <c r="N97" s="134"/>
    </row>
    <row r="98" spans="1:14" ht="27.75" customHeight="1" x14ac:dyDescent="0.25">
      <c r="A98" s="118">
        <f>A97+1</f>
        <v>37</v>
      </c>
      <c r="B98" s="47">
        <v>58380000</v>
      </c>
      <c r="C98" s="47" t="s">
        <v>82</v>
      </c>
      <c r="D98" s="186" t="s">
        <v>21</v>
      </c>
      <c r="E98" s="119">
        <v>29.166666666666668</v>
      </c>
      <c r="F98" s="197"/>
      <c r="G98" s="189">
        <f>F98*E98</f>
        <v>0</v>
      </c>
      <c r="H98" s="45" t="s">
        <v>54</v>
      </c>
      <c r="I98" s="114">
        <v>1.02</v>
      </c>
      <c r="J98" s="69">
        <f>I98*E98</f>
        <v>29.75</v>
      </c>
      <c r="K98" s="133"/>
      <c r="L98" s="40">
        <f>E98*K98</f>
        <v>0</v>
      </c>
      <c r="M98" s="41"/>
      <c r="N98" s="134"/>
    </row>
    <row r="99" spans="1:14" ht="15" customHeight="1" x14ac:dyDescent="0.25">
      <c r="A99" s="118"/>
      <c r="B99" s="47"/>
      <c r="C99" s="77" t="s">
        <v>150</v>
      </c>
      <c r="D99" s="186"/>
      <c r="E99" s="119"/>
      <c r="F99" s="197"/>
      <c r="G99" s="189"/>
      <c r="H99" s="45"/>
      <c r="I99" s="114"/>
      <c r="J99" s="69"/>
      <c r="K99" s="133"/>
      <c r="L99" s="40"/>
      <c r="M99" s="41"/>
      <c r="N99" s="134"/>
    </row>
    <row r="100" spans="1:14" ht="27" customHeight="1" x14ac:dyDescent="0.25">
      <c r="A100" s="118">
        <f>A98+1</f>
        <v>38</v>
      </c>
      <c r="B100" s="47">
        <v>58380001</v>
      </c>
      <c r="C100" s="47" t="s">
        <v>406</v>
      </c>
      <c r="D100" s="186" t="s">
        <v>21</v>
      </c>
      <c r="E100" s="119">
        <v>93.333333333333329</v>
      </c>
      <c r="F100" s="197"/>
      <c r="G100" s="189">
        <f>F100*E100</f>
        <v>0</v>
      </c>
      <c r="H100" s="45" t="s">
        <v>54</v>
      </c>
      <c r="I100" s="114">
        <v>1.02</v>
      </c>
      <c r="J100" s="69">
        <f>I100*E100</f>
        <v>95.2</v>
      </c>
      <c r="K100" s="133"/>
      <c r="L100" s="40">
        <f>E100*K100</f>
        <v>0</v>
      </c>
      <c r="M100" s="41"/>
      <c r="N100" s="134"/>
    </row>
    <row r="101" spans="1:14" ht="15" customHeight="1" x14ac:dyDescent="0.25">
      <c r="A101" s="118"/>
      <c r="B101" s="47"/>
      <c r="C101" s="77" t="s">
        <v>151</v>
      </c>
      <c r="D101" s="186"/>
      <c r="E101" s="119"/>
      <c r="F101" s="197"/>
      <c r="G101" s="189"/>
      <c r="H101" s="45"/>
      <c r="I101" s="114"/>
      <c r="J101" s="69"/>
      <c r="K101" s="133"/>
      <c r="L101" s="40"/>
      <c r="M101" s="41"/>
      <c r="N101" s="134"/>
    </row>
    <row r="102" spans="1:14" ht="17.25" customHeight="1" x14ac:dyDescent="0.25">
      <c r="A102" s="118"/>
      <c r="B102" s="47"/>
      <c r="C102" s="77"/>
      <c r="D102" s="186"/>
      <c r="E102" s="119"/>
      <c r="F102" s="197"/>
      <c r="G102" s="189"/>
      <c r="H102" s="45"/>
      <c r="I102" s="114"/>
      <c r="J102" s="69"/>
      <c r="K102" s="133"/>
      <c r="L102" s="40"/>
      <c r="M102" s="41"/>
      <c r="N102" s="134"/>
    </row>
    <row r="103" spans="1:14" ht="23.25" customHeight="1" x14ac:dyDescent="0.25">
      <c r="A103" s="118">
        <f>A100+1</f>
        <v>39</v>
      </c>
      <c r="B103" s="47">
        <v>564821111</v>
      </c>
      <c r="C103" s="84" t="s">
        <v>86</v>
      </c>
      <c r="D103" s="110" t="s">
        <v>19</v>
      </c>
      <c r="E103" s="119">
        <v>748.5</v>
      </c>
      <c r="F103" s="124"/>
      <c r="G103" s="189">
        <f t="shared" ref="G103:G126" si="29">F103*E103</f>
        <v>0</v>
      </c>
      <c r="H103" s="83" t="s">
        <v>404</v>
      </c>
      <c r="I103" s="114">
        <v>0.184</v>
      </c>
      <c r="J103" s="69">
        <f t="shared" ref="J103:J126" si="30">I103*E103</f>
        <v>137.72399999999999</v>
      </c>
      <c r="K103" s="133"/>
      <c r="L103" s="40">
        <f t="shared" ref="L103:L126" si="31">E103*K103</f>
        <v>0</v>
      </c>
      <c r="M103" s="41"/>
      <c r="N103" s="134"/>
    </row>
    <row r="104" spans="1:14" ht="17.25" customHeight="1" x14ac:dyDescent="0.25">
      <c r="A104" s="118"/>
      <c r="B104" s="47"/>
      <c r="C104" s="307" t="s">
        <v>298</v>
      </c>
      <c r="D104" s="135" t="s">
        <v>125</v>
      </c>
      <c r="E104" s="308">
        <v>349.5</v>
      </c>
      <c r="F104" s="124"/>
      <c r="G104" s="189"/>
      <c r="H104" s="45"/>
      <c r="I104" s="114"/>
      <c r="J104" s="69"/>
      <c r="K104" s="133"/>
      <c r="L104" s="40"/>
      <c r="M104" s="41"/>
      <c r="N104" s="134"/>
    </row>
    <row r="105" spans="1:14" ht="17.25" customHeight="1" x14ac:dyDescent="0.25">
      <c r="A105" s="118"/>
      <c r="B105" s="47"/>
      <c r="C105" s="307" t="s">
        <v>299</v>
      </c>
      <c r="D105" s="135" t="s">
        <v>125</v>
      </c>
      <c r="E105" s="308">
        <v>399</v>
      </c>
      <c r="F105" s="124"/>
      <c r="G105" s="189"/>
      <c r="H105" s="45"/>
      <c r="I105" s="114"/>
      <c r="J105" s="69"/>
      <c r="K105" s="133"/>
      <c r="L105" s="40"/>
      <c r="M105" s="41"/>
      <c r="N105" s="134"/>
    </row>
    <row r="106" spans="1:14" ht="17.25" customHeight="1" x14ac:dyDescent="0.25">
      <c r="A106" s="118"/>
      <c r="B106" s="47"/>
      <c r="C106" s="307"/>
      <c r="D106" s="135"/>
      <c r="E106" s="308"/>
      <c r="F106" s="124"/>
      <c r="G106" s="189"/>
      <c r="H106" s="45"/>
      <c r="I106" s="114"/>
      <c r="J106" s="69"/>
      <c r="K106" s="133"/>
      <c r="L106" s="40"/>
      <c r="M106" s="41"/>
      <c r="N106" s="134"/>
    </row>
    <row r="107" spans="1:14" ht="17.25" customHeight="1" x14ac:dyDescent="0.25">
      <c r="A107" s="118"/>
      <c r="B107" s="47"/>
      <c r="C107" s="307"/>
      <c r="D107" s="135"/>
      <c r="E107" s="308"/>
      <c r="F107" s="124"/>
      <c r="G107" s="189"/>
      <c r="H107" s="45"/>
      <c r="I107" s="114"/>
      <c r="J107" s="69"/>
      <c r="K107" s="133"/>
      <c r="L107" s="40"/>
      <c r="M107" s="41"/>
      <c r="N107" s="134"/>
    </row>
    <row r="108" spans="1:14" s="149" customFormat="1" ht="20.25" customHeight="1" x14ac:dyDescent="0.25">
      <c r="A108" s="404">
        <f>A103+1</f>
        <v>40</v>
      </c>
      <c r="B108" s="405">
        <v>564851111</v>
      </c>
      <c r="C108" s="406" t="s">
        <v>152</v>
      </c>
      <c r="D108" s="407" t="s">
        <v>19</v>
      </c>
      <c r="E108" s="408">
        <v>1242.655</v>
      </c>
      <c r="F108" s="409"/>
      <c r="G108" s="410">
        <f t="shared" si="29"/>
        <v>0</v>
      </c>
      <c r="H108" s="83" t="s">
        <v>404</v>
      </c>
      <c r="I108" s="411">
        <v>0.34499999999999997</v>
      </c>
      <c r="J108" s="412">
        <f t="shared" si="30"/>
        <v>428.71597499999996</v>
      </c>
      <c r="K108" s="413"/>
      <c r="L108" s="414">
        <f t="shared" si="31"/>
        <v>0</v>
      </c>
      <c r="M108" s="415"/>
    </row>
    <row r="109" spans="1:14" ht="17.25" customHeight="1" x14ac:dyDescent="0.25">
      <c r="A109" s="118"/>
      <c r="B109" s="47"/>
      <c r="C109" s="307" t="s">
        <v>300</v>
      </c>
      <c r="D109" s="135" t="s">
        <v>125</v>
      </c>
      <c r="E109" s="308">
        <v>735</v>
      </c>
      <c r="F109" s="124"/>
      <c r="G109" s="189"/>
      <c r="H109" s="45"/>
      <c r="I109" s="114"/>
      <c r="J109" s="69"/>
      <c r="K109" s="133"/>
      <c r="L109" s="40"/>
      <c r="M109" s="41"/>
      <c r="N109" s="134"/>
    </row>
    <row r="110" spans="1:14" ht="17.25" customHeight="1" x14ac:dyDescent="0.25">
      <c r="A110" s="118"/>
      <c r="B110" s="47"/>
      <c r="C110" s="307" t="s">
        <v>298</v>
      </c>
      <c r="D110" s="135" t="s">
        <v>125</v>
      </c>
      <c r="E110" s="308">
        <v>349.5</v>
      </c>
      <c r="F110" s="124"/>
      <c r="G110" s="189"/>
      <c r="H110" s="45"/>
      <c r="I110" s="114"/>
      <c r="J110" s="69"/>
      <c r="K110" s="133"/>
      <c r="L110" s="40"/>
      <c r="M110" s="41"/>
      <c r="N110" s="134"/>
    </row>
    <row r="111" spans="1:14" ht="17.25" customHeight="1" x14ac:dyDescent="0.25">
      <c r="A111" s="118"/>
      <c r="B111" s="47"/>
      <c r="C111" s="307" t="s">
        <v>301</v>
      </c>
      <c r="D111" s="135" t="s">
        <v>125</v>
      </c>
      <c r="E111" s="308">
        <v>7.1550000000000002</v>
      </c>
      <c r="F111" s="124"/>
      <c r="G111" s="189"/>
      <c r="H111" s="45"/>
      <c r="I111" s="114"/>
      <c r="J111" s="69"/>
      <c r="K111" s="133"/>
      <c r="L111" s="40"/>
      <c r="M111" s="41"/>
      <c r="N111" s="134"/>
    </row>
    <row r="112" spans="1:14" ht="17.25" customHeight="1" x14ac:dyDescent="0.25">
      <c r="A112" s="118"/>
      <c r="B112" s="47"/>
      <c r="C112" s="307" t="s">
        <v>302</v>
      </c>
      <c r="D112" s="135" t="s">
        <v>125</v>
      </c>
      <c r="E112" s="308">
        <v>151</v>
      </c>
      <c r="F112" s="124"/>
      <c r="G112" s="189"/>
      <c r="H112" s="45"/>
      <c r="I112" s="114"/>
      <c r="J112" s="69"/>
      <c r="K112" s="133"/>
      <c r="L112" s="40"/>
      <c r="M112" s="41"/>
      <c r="N112" s="134"/>
    </row>
    <row r="113" spans="1:14" ht="26.25" customHeight="1" x14ac:dyDescent="0.25">
      <c r="A113" s="118">
        <f>A108+1</f>
        <v>41</v>
      </c>
      <c r="B113" s="47">
        <v>564761111</v>
      </c>
      <c r="C113" s="47" t="s">
        <v>974</v>
      </c>
      <c r="D113" s="43" t="s">
        <v>19</v>
      </c>
      <c r="E113" s="119">
        <v>151</v>
      </c>
      <c r="F113" s="124"/>
      <c r="G113" s="189">
        <f t="shared" si="29"/>
        <v>0</v>
      </c>
      <c r="H113" s="83" t="s">
        <v>404</v>
      </c>
      <c r="I113" s="114">
        <v>0.38700000000000001</v>
      </c>
      <c r="J113" s="69">
        <f t="shared" si="30"/>
        <v>58.437000000000005</v>
      </c>
      <c r="K113" s="133"/>
      <c r="L113" s="40">
        <f t="shared" si="31"/>
        <v>0</v>
      </c>
      <c r="M113" s="41"/>
      <c r="N113" s="134"/>
    </row>
    <row r="114" spans="1:14" ht="15.75" customHeight="1" x14ac:dyDescent="0.25">
      <c r="A114" s="118"/>
      <c r="B114" s="47"/>
      <c r="C114" s="307" t="s">
        <v>303</v>
      </c>
      <c r="D114" s="135" t="s">
        <v>125</v>
      </c>
      <c r="E114" s="308">
        <v>0</v>
      </c>
      <c r="F114" s="124"/>
      <c r="G114" s="189"/>
      <c r="H114" s="45"/>
      <c r="I114" s="114"/>
      <c r="J114" s="69"/>
      <c r="K114" s="133"/>
      <c r="L114" s="40"/>
      <c r="M114" s="41"/>
      <c r="N114" s="134"/>
    </row>
    <row r="115" spans="1:14" ht="15.75" customHeight="1" x14ac:dyDescent="0.25">
      <c r="A115" s="118"/>
      <c r="B115" s="47"/>
      <c r="C115" s="307" t="s">
        <v>302</v>
      </c>
      <c r="D115" s="135" t="s">
        <v>125</v>
      </c>
      <c r="E115" s="308">
        <v>151</v>
      </c>
      <c r="F115" s="124"/>
      <c r="G115" s="189"/>
      <c r="H115" s="45"/>
      <c r="I115" s="114"/>
      <c r="J115" s="69"/>
      <c r="K115" s="133"/>
      <c r="L115" s="40"/>
      <c r="M115" s="41"/>
      <c r="N115" s="134"/>
    </row>
    <row r="116" spans="1:14" ht="17.25" customHeight="1" x14ac:dyDescent="0.25">
      <c r="A116" s="118">
        <f>A113+1</f>
        <v>42</v>
      </c>
      <c r="B116" s="47">
        <v>564761113</v>
      </c>
      <c r="C116" s="47" t="s">
        <v>65</v>
      </c>
      <c r="D116" s="43" t="s">
        <v>19</v>
      </c>
      <c r="E116" s="119">
        <v>349.5</v>
      </c>
      <c r="F116" s="124"/>
      <c r="G116" s="189">
        <f t="shared" si="29"/>
        <v>0</v>
      </c>
      <c r="H116" s="83" t="s">
        <v>404</v>
      </c>
      <c r="I116" s="114">
        <v>0.42699999999999999</v>
      </c>
      <c r="J116" s="69">
        <f t="shared" si="30"/>
        <v>149.23650000000001</v>
      </c>
      <c r="K116" s="133"/>
      <c r="L116" s="40">
        <f t="shared" si="31"/>
        <v>0</v>
      </c>
      <c r="M116" s="41"/>
      <c r="N116" s="134"/>
    </row>
    <row r="117" spans="1:14" ht="17.25" customHeight="1" x14ac:dyDescent="0.25">
      <c r="A117" s="118">
        <f t="shared" ref="A117:A126" si="32">A116+1</f>
        <v>43</v>
      </c>
      <c r="B117" s="47">
        <v>567123114</v>
      </c>
      <c r="C117" s="47" t="s">
        <v>93</v>
      </c>
      <c r="D117" s="43" t="s">
        <v>19</v>
      </c>
      <c r="E117" s="119">
        <v>742.15499999999997</v>
      </c>
      <c r="F117" s="124"/>
      <c r="G117" s="189">
        <f t="shared" si="29"/>
        <v>0</v>
      </c>
      <c r="H117" s="83" t="s">
        <v>404</v>
      </c>
      <c r="I117" s="114">
        <v>0.37724000000000002</v>
      </c>
      <c r="J117" s="69">
        <f t="shared" si="30"/>
        <v>279.97055219999999</v>
      </c>
      <c r="K117" s="133"/>
      <c r="L117" s="40">
        <f t="shared" si="31"/>
        <v>0</v>
      </c>
      <c r="M117" s="41"/>
      <c r="N117" s="134"/>
    </row>
    <row r="118" spans="1:14" ht="17.25" customHeight="1" x14ac:dyDescent="0.25">
      <c r="A118" s="118"/>
      <c r="B118" s="47"/>
      <c r="C118" s="307" t="s">
        <v>300</v>
      </c>
      <c r="D118" s="135" t="s">
        <v>125</v>
      </c>
      <c r="E118" s="308">
        <v>735</v>
      </c>
      <c r="F118" s="124"/>
      <c r="G118" s="189"/>
      <c r="H118" s="45"/>
      <c r="I118" s="114"/>
      <c r="J118" s="69"/>
      <c r="K118" s="133"/>
      <c r="L118" s="40"/>
      <c r="M118" s="41"/>
      <c r="N118" s="134"/>
    </row>
    <row r="119" spans="1:14" ht="17.25" customHeight="1" x14ac:dyDescent="0.25">
      <c r="A119" s="118"/>
      <c r="B119" s="47"/>
      <c r="C119" s="307" t="s">
        <v>301</v>
      </c>
      <c r="D119" s="135" t="s">
        <v>125</v>
      </c>
      <c r="E119" s="308">
        <v>7.1550000000000002</v>
      </c>
      <c r="F119" s="124"/>
      <c r="G119" s="189"/>
      <c r="H119" s="45"/>
      <c r="I119" s="114"/>
      <c r="J119" s="69"/>
      <c r="K119" s="133"/>
      <c r="L119" s="40"/>
      <c r="M119" s="41"/>
      <c r="N119" s="134"/>
    </row>
    <row r="120" spans="1:14" ht="16.5" customHeight="1" x14ac:dyDescent="0.25">
      <c r="A120" s="118">
        <f>A117+1</f>
        <v>44</v>
      </c>
      <c r="B120" s="198">
        <v>919726121</v>
      </c>
      <c r="C120" s="199" t="s">
        <v>304</v>
      </c>
      <c r="D120" s="43" t="s">
        <v>19</v>
      </c>
      <c r="E120" s="309">
        <v>2286.81</v>
      </c>
      <c r="F120" s="120"/>
      <c r="G120" s="189">
        <f t="shared" si="29"/>
        <v>0</v>
      </c>
      <c r="H120" s="83" t="s">
        <v>404</v>
      </c>
      <c r="I120" s="425">
        <v>3.6000000000000002E-4</v>
      </c>
      <c r="J120" s="69">
        <f t="shared" si="30"/>
        <v>0.82325160000000008</v>
      </c>
      <c r="K120" s="133"/>
      <c r="L120" s="40">
        <f t="shared" si="31"/>
        <v>0</v>
      </c>
      <c r="M120" s="41"/>
      <c r="N120" s="134"/>
    </row>
    <row r="121" spans="1:14" ht="16.5" customHeight="1" x14ac:dyDescent="0.25">
      <c r="A121" s="118"/>
      <c r="B121" s="198"/>
      <c r="C121" s="307" t="s">
        <v>305</v>
      </c>
      <c r="D121" s="135" t="s">
        <v>125</v>
      </c>
      <c r="E121" s="308">
        <v>1470</v>
      </c>
      <c r="F121" s="124"/>
      <c r="G121" s="189"/>
      <c r="H121" s="45"/>
      <c r="I121" s="425"/>
      <c r="J121" s="69"/>
      <c r="K121" s="133"/>
      <c r="L121" s="40"/>
      <c r="M121" s="41"/>
      <c r="N121" s="134"/>
    </row>
    <row r="122" spans="1:14" ht="16.5" customHeight="1" x14ac:dyDescent="0.25">
      <c r="A122" s="118"/>
      <c r="B122" s="198"/>
      <c r="C122" s="307" t="s">
        <v>298</v>
      </c>
      <c r="D122" s="135" t="s">
        <v>125</v>
      </c>
      <c r="E122" s="308">
        <v>349.5</v>
      </c>
      <c r="F122" s="124"/>
      <c r="G122" s="189"/>
      <c r="H122" s="45"/>
      <c r="I122" s="425"/>
      <c r="J122" s="69"/>
      <c r="K122" s="133"/>
      <c r="L122" s="40"/>
      <c r="M122" s="41"/>
      <c r="N122" s="134"/>
    </row>
    <row r="123" spans="1:14" ht="16.5" customHeight="1" x14ac:dyDescent="0.25">
      <c r="A123" s="118"/>
      <c r="B123" s="198"/>
      <c r="C123" s="307" t="s">
        <v>306</v>
      </c>
      <c r="D123" s="135" t="s">
        <v>125</v>
      </c>
      <c r="E123" s="308">
        <v>14.31</v>
      </c>
      <c r="F123" s="124"/>
      <c r="G123" s="189"/>
      <c r="H123" s="45"/>
      <c r="I123" s="425"/>
      <c r="J123" s="69"/>
      <c r="K123" s="133"/>
      <c r="L123" s="40"/>
      <c r="M123" s="41"/>
      <c r="N123" s="134"/>
    </row>
    <row r="124" spans="1:14" ht="16.5" customHeight="1" x14ac:dyDescent="0.25">
      <c r="A124" s="118"/>
      <c r="B124" s="198"/>
      <c r="C124" s="307" t="s">
        <v>307</v>
      </c>
      <c r="D124" s="135" t="s">
        <v>125</v>
      </c>
      <c r="E124" s="308">
        <v>453</v>
      </c>
      <c r="F124" s="124"/>
      <c r="G124" s="189"/>
      <c r="H124" s="45"/>
      <c r="I124" s="425"/>
      <c r="J124" s="69"/>
      <c r="K124" s="133"/>
      <c r="L124" s="40"/>
      <c r="M124" s="41"/>
      <c r="N124" s="134"/>
    </row>
    <row r="125" spans="1:14" ht="17.25" customHeight="1" x14ac:dyDescent="0.25">
      <c r="A125" s="118">
        <f>A120+1</f>
        <v>45</v>
      </c>
      <c r="B125" s="47" t="s">
        <v>66</v>
      </c>
      <c r="C125" s="47" t="s">
        <v>85</v>
      </c>
      <c r="D125" s="43" t="s">
        <v>19</v>
      </c>
      <c r="E125" s="119">
        <v>748.5</v>
      </c>
      <c r="F125" s="124"/>
      <c r="G125" s="189">
        <f t="shared" si="29"/>
        <v>0</v>
      </c>
      <c r="H125" s="45" t="s">
        <v>67</v>
      </c>
      <c r="I125" s="136">
        <f>0.02*4</f>
        <v>0.08</v>
      </c>
      <c r="J125" s="69">
        <f t="shared" si="30"/>
        <v>59.88</v>
      </c>
      <c r="K125" s="133"/>
      <c r="L125" s="40">
        <f t="shared" si="31"/>
        <v>0</v>
      </c>
      <c r="M125" s="41"/>
    </row>
    <row r="126" spans="1:14" ht="27.75" customHeight="1" x14ac:dyDescent="0.25">
      <c r="A126" s="118">
        <f t="shared" si="32"/>
        <v>46</v>
      </c>
      <c r="B126" s="47" t="s">
        <v>68</v>
      </c>
      <c r="C126" s="47" t="s">
        <v>308</v>
      </c>
      <c r="D126" s="43" t="s">
        <v>19</v>
      </c>
      <c r="E126" s="119">
        <v>302</v>
      </c>
      <c r="F126" s="124"/>
      <c r="G126" s="189">
        <f t="shared" si="29"/>
        <v>0</v>
      </c>
      <c r="H126" s="45" t="s">
        <v>67</v>
      </c>
      <c r="I126" s="136">
        <f>0.15*1.6</f>
        <v>0.24</v>
      </c>
      <c r="J126" s="69">
        <f t="shared" si="30"/>
        <v>72.48</v>
      </c>
      <c r="K126" s="133"/>
      <c r="L126" s="40">
        <f t="shared" si="31"/>
        <v>0</v>
      </c>
      <c r="M126" s="41"/>
    </row>
    <row r="127" spans="1:14" ht="16.5" customHeight="1" x14ac:dyDescent="0.25">
      <c r="A127" s="118"/>
      <c r="B127" s="47"/>
      <c r="C127" s="307" t="s">
        <v>303</v>
      </c>
      <c r="D127" s="135" t="s">
        <v>125</v>
      </c>
      <c r="E127" s="308">
        <v>0</v>
      </c>
      <c r="F127" s="124"/>
      <c r="G127" s="189"/>
      <c r="H127" s="45"/>
      <c r="I127" s="136"/>
      <c r="J127" s="69"/>
      <c r="K127" s="133"/>
      <c r="L127" s="40"/>
      <c r="M127" s="41"/>
    </row>
    <row r="128" spans="1:14" ht="16.5" customHeight="1" x14ac:dyDescent="0.25">
      <c r="A128" s="118"/>
      <c r="B128" s="47"/>
      <c r="C128" s="307" t="s">
        <v>309</v>
      </c>
      <c r="D128" s="135" t="s">
        <v>125</v>
      </c>
      <c r="E128" s="308">
        <v>302</v>
      </c>
      <c r="F128" s="124"/>
      <c r="G128" s="189"/>
      <c r="H128" s="45"/>
      <c r="I128" s="136"/>
      <c r="J128" s="69"/>
      <c r="K128" s="133"/>
      <c r="L128" s="40"/>
      <c r="M128" s="41"/>
    </row>
    <row r="129" spans="1:13" ht="25.5" customHeight="1" x14ac:dyDescent="0.25">
      <c r="A129" s="118">
        <f>A126+1</f>
        <v>47</v>
      </c>
      <c r="B129" s="47">
        <v>916111122</v>
      </c>
      <c r="C129" s="47" t="s">
        <v>972</v>
      </c>
      <c r="D129" s="43" t="s">
        <v>25</v>
      </c>
      <c r="E129" s="508">
        <v>286</v>
      </c>
      <c r="F129" s="124"/>
      <c r="G129" s="189">
        <f t="shared" ref="G129" si="33">F129*E129</f>
        <v>0</v>
      </c>
      <c r="H129" s="83" t="s">
        <v>404</v>
      </c>
      <c r="I129" s="136">
        <v>7.1900000000000006E-2</v>
      </c>
      <c r="J129" s="69">
        <f>I129*E129</f>
        <v>20.563400000000001</v>
      </c>
      <c r="K129" s="133"/>
      <c r="L129" s="40"/>
      <c r="M129" s="41"/>
    </row>
    <row r="130" spans="1:13" ht="25.5" customHeight="1" x14ac:dyDescent="0.25">
      <c r="A130" s="118">
        <f>A129+1</f>
        <v>48</v>
      </c>
      <c r="B130" s="47" t="s">
        <v>69</v>
      </c>
      <c r="C130" s="47" t="s">
        <v>87</v>
      </c>
      <c r="D130" s="43" t="s">
        <v>55</v>
      </c>
      <c r="E130" s="119">
        <v>690</v>
      </c>
      <c r="F130" s="124"/>
      <c r="G130" s="189">
        <f t="shared" ref="G130:G132" si="34">F130*E130</f>
        <v>0</v>
      </c>
      <c r="H130" s="45" t="s">
        <v>67</v>
      </c>
      <c r="I130" s="136">
        <f>0.08531+0.0098</f>
        <v>9.511E-2</v>
      </c>
      <c r="J130" s="69">
        <f t="shared" ref="J130:J132" si="35">I130*E130</f>
        <v>65.625900000000001</v>
      </c>
      <c r="K130" s="133"/>
      <c r="L130" s="40">
        <f t="shared" ref="L130:L132" si="36">E130*K130</f>
        <v>0</v>
      </c>
      <c r="M130">
        <f>7.84*5*0.25</f>
        <v>9.8000000000000007</v>
      </c>
    </row>
    <row r="131" spans="1:13" ht="25.5" customHeight="1" x14ac:dyDescent="0.25">
      <c r="A131" s="118">
        <f t="shared" ref="A131:A132" si="37">A130+1</f>
        <v>49</v>
      </c>
      <c r="B131" s="47" t="s">
        <v>69</v>
      </c>
      <c r="C131" s="47" t="s">
        <v>88</v>
      </c>
      <c r="D131" s="43" t="s">
        <v>55</v>
      </c>
      <c r="E131" s="119">
        <v>19</v>
      </c>
      <c r="F131" s="124"/>
      <c r="G131" s="189">
        <f t="shared" ref="G131" si="38">F131*E131</f>
        <v>0</v>
      </c>
      <c r="H131" s="45" t="s">
        <v>67</v>
      </c>
      <c r="I131" s="136">
        <f>0.08531+0.0098</f>
        <v>9.511E-2</v>
      </c>
      <c r="J131" s="69">
        <f t="shared" ref="J131" si="39">I131*E131</f>
        <v>1.8070900000000001</v>
      </c>
      <c r="K131" s="133"/>
      <c r="L131" s="40">
        <f t="shared" ref="L131" si="40">E131*K131</f>
        <v>0</v>
      </c>
      <c r="M131">
        <f>0.15*5*7.84</f>
        <v>5.88</v>
      </c>
    </row>
    <row r="132" spans="1:13" ht="39.75" customHeight="1" x14ac:dyDescent="0.25">
      <c r="A132" s="118">
        <f t="shared" si="37"/>
        <v>50</v>
      </c>
      <c r="B132" s="47" t="s">
        <v>70</v>
      </c>
      <c r="C132" s="47" t="s">
        <v>89</v>
      </c>
      <c r="D132" s="43" t="s">
        <v>55</v>
      </c>
      <c r="E132" s="119">
        <v>0</v>
      </c>
      <c r="F132" s="124"/>
      <c r="G132" s="189">
        <f t="shared" si="34"/>
        <v>0</v>
      </c>
      <c r="H132" s="45" t="s">
        <v>67</v>
      </c>
      <c r="I132" s="136">
        <f>0.01</f>
        <v>0.01</v>
      </c>
      <c r="J132" s="69">
        <f t="shared" si="35"/>
        <v>0</v>
      </c>
      <c r="K132" s="133"/>
      <c r="L132" s="40">
        <f t="shared" si="36"/>
        <v>0</v>
      </c>
    </row>
    <row r="133" spans="1:13" ht="16.5" customHeight="1" x14ac:dyDescent="0.25">
      <c r="B133" s="53"/>
      <c r="D133" s="57"/>
      <c r="E133" s="68"/>
    </row>
    <row r="134" spans="1:13" ht="18" customHeight="1" x14ac:dyDescent="0.25">
      <c r="B134" s="46"/>
      <c r="C134" s="30" t="s">
        <v>108</v>
      </c>
      <c r="G134" s="51">
        <f>SUM(G135:G140)</f>
        <v>0</v>
      </c>
      <c r="H134" s="61"/>
      <c r="I134" s="419"/>
      <c r="J134" s="67">
        <f>SUM(J135:J140)</f>
        <v>3.3537082755000003</v>
      </c>
      <c r="L134" s="67">
        <f>SUM(L135:L140)</f>
        <v>0</v>
      </c>
    </row>
    <row r="135" spans="1:13" ht="28.5" customHeight="1" x14ac:dyDescent="0.25">
      <c r="A135" s="118">
        <f>A132+1</f>
        <v>51</v>
      </c>
      <c r="B135" s="47" t="s">
        <v>973</v>
      </c>
      <c r="C135" s="47" t="s">
        <v>126</v>
      </c>
      <c r="D135" s="43" t="s">
        <v>17</v>
      </c>
      <c r="E135" s="142">
        <v>1.35945</v>
      </c>
      <c r="F135" s="216"/>
      <c r="G135" s="189">
        <f>F135*E135</f>
        <v>0</v>
      </c>
      <c r="H135" s="45" t="s">
        <v>67</v>
      </c>
      <c r="I135" s="430">
        <v>2.45329</v>
      </c>
      <c r="J135" s="138">
        <f t="shared" ref="J135" si="41">I135*E135</f>
        <v>3.3351250905000001</v>
      </c>
      <c r="K135" s="138"/>
      <c r="L135" s="136">
        <v>0</v>
      </c>
    </row>
    <row r="136" spans="1:13" ht="16.5" customHeight="1" x14ac:dyDescent="0.25">
      <c r="A136" s="118">
        <f t="shared" ref="A136:A140" si="42">A135+1</f>
        <v>52</v>
      </c>
      <c r="B136" s="47">
        <v>631319013</v>
      </c>
      <c r="C136" s="47" t="s">
        <v>96</v>
      </c>
      <c r="D136" s="43" t="s">
        <v>17</v>
      </c>
      <c r="E136" s="142">
        <v>1.35945</v>
      </c>
      <c r="F136" s="216"/>
      <c r="G136" s="189">
        <f t="shared" ref="G136:G140" si="43">F136*E136</f>
        <v>0</v>
      </c>
      <c r="H136" s="83" t="s">
        <v>404</v>
      </c>
      <c r="I136" s="430">
        <v>0</v>
      </c>
      <c r="J136" s="138">
        <f t="shared" ref="J136:J140" si="44">I136*E136</f>
        <v>0</v>
      </c>
      <c r="K136" s="138"/>
      <c r="L136" s="136">
        <v>0</v>
      </c>
    </row>
    <row r="137" spans="1:13" ht="25.5" customHeight="1" x14ac:dyDescent="0.25">
      <c r="A137" s="118">
        <f t="shared" si="42"/>
        <v>53</v>
      </c>
      <c r="B137" s="47">
        <v>631319211</v>
      </c>
      <c r="C137" s="47" t="s">
        <v>97</v>
      </c>
      <c r="D137" s="43" t="s">
        <v>17</v>
      </c>
      <c r="E137" s="142">
        <v>1.35945</v>
      </c>
      <c r="F137" s="216"/>
      <c r="G137" s="189">
        <f t="shared" si="43"/>
        <v>0</v>
      </c>
      <c r="H137" s="83" t="s">
        <v>404</v>
      </c>
      <c r="I137" s="430">
        <v>8.9999999999999998E-4</v>
      </c>
      <c r="J137" s="138">
        <f t="shared" si="44"/>
        <v>1.2235049999999999E-3</v>
      </c>
      <c r="K137" s="138"/>
      <c r="L137" s="136">
        <v>0</v>
      </c>
    </row>
    <row r="138" spans="1:13" ht="16.5" customHeight="1" x14ac:dyDescent="0.25">
      <c r="A138" s="118">
        <f t="shared" si="42"/>
        <v>54</v>
      </c>
      <c r="B138" s="47">
        <v>631351101</v>
      </c>
      <c r="C138" s="47" t="s">
        <v>127</v>
      </c>
      <c r="D138" s="43" t="s">
        <v>19</v>
      </c>
      <c r="E138" s="142">
        <v>1.284</v>
      </c>
      <c r="F138" s="197"/>
      <c r="G138" s="189">
        <f t="shared" si="43"/>
        <v>0</v>
      </c>
      <c r="H138" s="83" t="s">
        <v>404</v>
      </c>
      <c r="I138" s="430">
        <v>1.3520000000000001E-2</v>
      </c>
      <c r="J138" s="138">
        <f t="shared" si="44"/>
        <v>1.7359680000000002E-2</v>
      </c>
      <c r="K138" s="138"/>
      <c r="L138" s="136">
        <v>0</v>
      </c>
    </row>
    <row r="139" spans="1:13" ht="16.5" customHeight="1" x14ac:dyDescent="0.25">
      <c r="A139" s="118">
        <f t="shared" si="42"/>
        <v>55</v>
      </c>
      <c r="B139" s="47">
        <v>631351102</v>
      </c>
      <c r="C139" s="47" t="s">
        <v>94</v>
      </c>
      <c r="D139" s="43" t="s">
        <v>19</v>
      </c>
      <c r="E139" s="142">
        <v>1.284</v>
      </c>
      <c r="F139" s="216"/>
      <c r="G139" s="189">
        <f t="shared" si="43"/>
        <v>0</v>
      </c>
      <c r="H139" s="83" t="s">
        <v>404</v>
      </c>
      <c r="I139" s="430">
        <v>0</v>
      </c>
      <c r="J139" s="138">
        <f t="shared" si="44"/>
        <v>0</v>
      </c>
      <c r="K139" s="138"/>
      <c r="L139" s="136">
        <v>0</v>
      </c>
    </row>
    <row r="140" spans="1:13" ht="16.5" customHeight="1" x14ac:dyDescent="0.25">
      <c r="A140" s="118">
        <f t="shared" si="42"/>
        <v>56</v>
      </c>
      <c r="B140" s="47">
        <v>631319197</v>
      </c>
      <c r="C140" s="47" t="s">
        <v>95</v>
      </c>
      <c r="D140" s="43" t="s">
        <v>17</v>
      </c>
      <c r="E140" s="142">
        <v>1.35945</v>
      </c>
      <c r="F140" s="216"/>
      <c r="G140" s="189">
        <f t="shared" si="43"/>
        <v>0</v>
      </c>
      <c r="H140" s="83" t="s">
        <v>404</v>
      </c>
      <c r="I140" s="430"/>
      <c r="J140" s="138">
        <f t="shared" si="44"/>
        <v>0</v>
      </c>
      <c r="K140" s="138"/>
      <c r="L140" s="136">
        <v>0</v>
      </c>
    </row>
    <row r="141" spans="1:13" ht="16.5" customHeight="1" x14ac:dyDescent="0.25">
      <c r="G141"/>
      <c r="I141" s="431"/>
      <c r="J141"/>
    </row>
    <row r="142" spans="1:13" ht="20.25" customHeight="1" x14ac:dyDescent="0.25">
      <c r="B142" s="46"/>
      <c r="C142" s="30" t="s">
        <v>111</v>
      </c>
      <c r="G142" s="51">
        <f>SUM(G143:G147)</f>
        <v>0</v>
      </c>
      <c r="H142" s="61"/>
      <c r="I142" s="419"/>
      <c r="J142" s="67">
        <f>SUM(J143:J147)</f>
        <v>0</v>
      </c>
      <c r="L142" s="67">
        <f>SUM(L143:L144)</f>
        <v>0</v>
      </c>
    </row>
    <row r="143" spans="1:13" ht="17.25" customHeight="1" x14ac:dyDescent="0.25">
      <c r="A143" s="118">
        <f>A140+1</f>
        <v>57</v>
      </c>
      <c r="B143" s="47">
        <v>9550001</v>
      </c>
      <c r="C143" s="47" t="s">
        <v>378</v>
      </c>
      <c r="D143" s="110" t="s">
        <v>79</v>
      </c>
      <c r="E143" s="403">
        <v>2</v>
      </c>
      <c r="F143" s="154"/>
      <c r="G143" s="189">
        <f t="shared" ref="G143" si="45">F143*E143</f>
        <v>0</v>
      </c>
      <c r="H143" s="45" t="s">
        <v>67</v>
      </c>
      <c r="I143" s="138">
        <v>0</v>
      </c>
      <c r="J143" s="138">
        <f>I143*E143</f>
        <v>0</v>
      </c>
      <c r="K143" s="138">
        <v>0</v>
      </c>
      <c r="L143" s="136">
        <f>E143*K143</f>
        <v>0</v>
      </c>
    </row>
    <row r="144" spans="1:13" ht="16.5" customHeight="1" x14ac:dyDescent="0.25">
      <c r="A144" s="118">
        <f t="shared" ref="A144:B145" si="46">A143+1</f>
        <v>58</v>
      </c>
      <c r="B144" s="140">
        <f>B143+1</f>
        <v>9550002</v>
      </c>
      <c r="C144" s="47" t="s">
        <v>310</v>
      </c>
      <c r="D144" s="110" t="s">
        <v>103</v>
      </c>
      <c r="E144" s="403">
        <v>2</v>
      </c>
      <c r="F144" s="154"/>
      <c r="G144" s="189">
        <f t="shared" ref="G144:G145" si="47">F144*E144</f>
        <v>0</v>
      </c>
      <c r="H144" s="45" t="s">
        <v>67</v>
      </c>
      <c r="I144" s="138">
        <v>0</v>
      </c>
      <c r="J144" s="138">
        <f t="shared" ref="J144:J145" si="48">I144*E144</f>
        <v>0</v>
      </c>
      <c r="K144" s="138">
        <v>0</v>
      </c>
      <c r="L144" s="136">
        <f t="shared" ref="L144:L145" si="49">E144*K144</f>
        <v>0</v>
      </c>
    </row>
    <row r="145" spans="1:12" ht="16.5" customHeight="1" x14ac:dyDescent="0.25">
      <c r="A145" s="118">
        <f t="shared" si="46"/>
        <v>59</v>
      </c>
      <c r="B145" s="140">
        <f t="shared" si="46"/>
        <v>9550003</v>
      </c>
      <c r="C145" s="47" t="s">
        <v>311</v>
      </c>
      <c r="D145" s="110" t="s">
        <v>103</v>
      </c>
      <c r="E145" s="403">
        <v>2</v>
      </c>
      <c r="F145" s="154"/>
      <c r="G145" s="189">
        <f t="shared" si="47"/>
        <v>0</v>
      </c>
      <c r="H145" s="45" t="s">
        <v>67</v>
      </c>
      <c r="I145" s="138">
        <v>0</v>
      </c>
      <c r="J145" s="138">
        <f t="shared" si="48"/>
        <v>0</v>
      </c>
      <c r="K145" s="138">
        <v>0</v>
      </c>
      <c r="L145" s="136">
        <f t="shared" si="49"/>
        <v>0</v>
      </c>
    </row>
    <row r="146" spans="1:12" ht="16.5" customHeight="1" x14ac:dyDescent="0.25">
      <c r="A146" s="118">
        <f t="shared" ref="A146:B146" si="50">A145+1</f>
        <v>60</v>
      </c>
      <c r="B146" s="140">
        <f t="shared" si="50"/>
        <v>9550004</v>
      </c>
      <c r="C146" s="47" t="s">
        <v>313</v>
      </c>
      <c r="D146" s="110" t="s">
        <v>103</v>
      </c>
      <c r="E146" s="403">
        <v>3</v>
      </c>
      <c r="F146" s="154"/>
      <c r="G146" s="189">
        <f t="shared" ref="G146:G147" si="51">F146*E146</f>
        <v>0</v>
      </c>
      <c r="H146" s="45" t="s">
        <v>67</v>
      </c>
      <c r="I146" s="138">
        <v>0</v>
      </c>
      <c r="J146" s="138">
        <f t="shared" ref="J146:J147" si="52">I146*E146</f>
        <v>0</v>
      </c>
      <c r="K146" s="138">
        <v>0</v>
      </c>
      <c r="L146" s="136">
        <f t="shared" ref="L146:L147" si="53">E146*K146</f>
        <v>0</v>
      </c>
    </row>
    <row r="147" spans="1:12" ht="16.5" customHeight="1" x14ac:dyDescent="0.25">
      <c r="A147" s="118">
        <f t="shared" ref="A147:B147" si="54">A146+1</f>
        <v>61</v>
      </c>
      <c r="B147" s="140">
        <f t="shared" si="54"/>
        <v>9550005</v>
      </c>
      <c r="C147" s="47" t="s">
        <v>312</v>
      </c>
      <c r="D147" s="110" t="s">
        <v>103</v>
      </c>
      <c r="E147" s="403">
        <v>6</v>
      </c>
      <c r="F147" s="154"/>
      <c r="G147" s="189">
        <f t="shared" si="51"/>
        <v>0</v>
      </c>
      <c r="H147" s="45" t="s">
        <v>67</v>
      </c>
      <c r="I147" s="138">
        <v>0</v>
      </c>
      <c r="J147" s="138">
        <f t="shared" si="52"/>
        <v>0</v>
      </c>
      <c r="K147" s="138">
        <v>0</v>
      </c>
      <c r="L147" s="136">
        <f t="shared" si="53"/>
        <v>0</v>
      </c>
    </row>
    <row r="148" spans="1:12" ht="12" customHeight="1" x14ac:dyDescent="0.25">
      <c r="A148" s="207"/>
      <c r="B148" s="322"/>
      <c r="C148" s="323"/>
      <c r="D148" s="324"/>
      <c r="E148" s="325"/>
      <c r="F148" s="310"/>
      <c r="G148" s="326"/>
      <c r="H148" s="327"/>
      <c r="I148" s="328"/>
      <c r="J148" s="328"/>
      <c r="K148" s="328"/>
      <c r="L148" s="329"/>
    </row>
    <row r="149" spans="1:12" ht="16.5" customHeight="1" x14ac:dyDescent="0.25">
      <c r="C149" s="30" t="s">
        <v>395</v>
      </c>
      <c r="E149" s="60"/>
      <c r="F149" s="60"/>
      <c r="G149" s="51">
        <f>SUM(G150:G152)</f>
        <v>0</v>
      </c>
      <c r="H149" s="61"/>
      <c r="I149" s="419"/>
      <c r="J149" s="67">
        <f>SUM(J150:J152)</f>
        <v>131.881248</v>
      </c>
      <c r="L149" s="67">
        <v>0</v>
      </c>
    </row>
    <row r="150" spans="1:12" ht="39" customHeight="1" x14ac:dyDescent="0.25">
      <c r="A150" s="118">
        <f>A147+1</f>
        <v>62</v>
      </c>
      <c r="B150" s="47">
        <v>212752412</v>
      </c>
      <c r="C150" s="84" t="s">
        <v>405</v>
      </c>
      <c r="D150" s="141" t="s">
        <v>25</v>
      </c>
      <c r="E150" s="209">
        <v>480</v>
      </c>
      <c r="F150" s="114"/>
      <c r="G150" s="189">
        <f t="shared" ref="G150" si="55">F150*E150</f>
        <v>0</v>
      </c>
      <c r="H150" s="45" t="s">
        <v>404</v>
      </c>
      <c r="I150" s="114">
        <v>0.27411000000000002</v>
      </c>
      <c r="J150" s="69">
        <f>I150*E150</f>
        <v>131.5728</v>
      </c>
      <c r="K150" s="139"/>
      <c r="L150" s="40">
        <f t="shared" ref="L150:L152" si="56">E150*K150</f>
        <v>0</v>
      </c>
    </row>
    <row r="151" spans="1:12" ht="24" customHeight="1" x14ac:dyDescent="0.25">
      <c r="A151" s="118">
        <f>A150+1</f>
        <v>63</v>
      </c>
      <c r="B151" s="140">
        <v>211971110</v>
      </c>
      <c r="C151" s="140" t="s">
        <v>396</v>
      </c>
      <c r="D151" s="141" t="s">
        <v>19</v>
      </c>
      <c r="E151" s="209">
        <v>647.99999999999989</v>
      </c>
      <c r="F151" s="305"/>
      <c r="G151" s="189">
        <f t="shared" ref="G151:G152" si="57">F151*E151</f>
        <v>0</v>
      </c>
      <c r="H151" s="83" t="s">
        <v>404</v>
      </c>
      <c r="I151" s="303">
        <v>1.7000000000000001E-4</v>
      </c>
      <c r="J151" s="69">
        <f>I151*E151</f>
        <v>0.11015999999999999</v>
      </c>
      <c r="K151" s="139"/>
      <c r="L151" s="40">
        <f t="shared" si="56"/>
        <v>0</v>
      </c>
    </row>
    <row r="152" spans="1:12" ht="16.5" customHeight="1" x14ac:dyDescent="0.25">
      <c r="A152" s="118">
        <f>A151+1</f>
        <v>64</v>
      </c>
      <c r="B152" s="140">
        <v>69311068</v>
      </c>
      <c r="C152" s="140" t="s">
        <v>397</v>
      </c>
      <c r="D152" s="301" t="s">
        <v>36</v>
      </c>
      <c r="E152" s="209">
        <v>660.95999999999992</v>
      </c>
      <c r="F152" s="301"/>
      <c r="G152" s="189">
        <f t="shared" si="57"/>
        <v>0</v>
      </c>
      <c r="H152" s="83" t="s">
        <v>404</v>
      </c>
      <c r="I152" s="426">
        <v>2.9999999999999997E-4</v>
      </c>
      <c r="J152" s="69">
        <f>I152*E152</f>
        <v>0.19828799999999996</v>
      </c>
      <c r="K152" s="139"/>
      <c r="L152" s="40">
        <f t="shared" si="56"/>
        <v>0</v>
      </c>
    </row>
    <row r="153" spans="1:12" ht="14.25" customHeight="1" x14ac:dyDescent="0.25">
      <c r="A153" s="207"/>
      <c r="B153" s="322"/>
      <c r="C153" s="322"/>
      <c r="D153" s="397"/>
      <c r="E153" s="397"/>
      <c r="F153" s="398"/>
      <c r="G153" s="326"/>
      <c r="H153" s="327"/>
      <c r="I153" s="399"/>
      <c r="J153" s="400"/>
      <c r="K153" s="401"/>
      <c r="L153" s="402"/>
    </row>
    <row r="154" spans="1:12" ht="20.25" customHeight="1" x14ac:dyDescent="0.25">
      <c r="B154" s="46"/>
      <c r="C154" s="30" t="s">
        <v>109</v>
      </c>
      <c r="G154" s="51">
        <f>G155</f>
        <v>0</v>
      </c>
      <c r="H154" s="61"/>
      <c r="I154" s="419"/>
      <c r="J154" s="67">
        <f>J90+J76+J61+J26+J5+J142+J134+J149</f>
        <v>1692.0455123256752</v>
      </c>
      <c r="L154" s="67">
        <f>L90+L76+L26+L5+L142</f>
        <v>473.29399999999998</v>
      </c>
    </row>
    <row r="155" spans="1:12" ht="16.5" customHeight="1" x14ac:dyDescent="0.25">
      <c r="A155" s="118">
        <f>A152+1</f>
        <v>65</v>
      </c>
      <c r="B155" s="140">
        <v>998223011</v>
      </c>
      <c r="C155" s="140" t="s">
        <v>40</v>
      </c>
      <c r="D155" s="141" t="s">
        <v>16</v>
      </c>
      <c r="E155" s="152">
        <v>1692.0455123256752</v>
      </c>
      <c r="F155" s="153"/>
      <c r="G155" s="189">
        <f t="shared" ref="G155" si="58">F155*E155</f>
        <v>0</v>
      </c>
      <c r="H155" s="83" t="s">
        <v>404</v>
      </c>
      <c r="I155" s="432"/>
      <c r="J155" s="151"/>
      <c r="K155" s="139"/>
      <c r="L155" s="139"/>
    </row>
    <row r="156" spans="1:12" ht="15" customHeight="1" x14ac:dyDescent="0.25"/>
    <row r="157" spans="1:12" ht="18" customHeight="1" x14ac:dyDescent="0.25">
      <c r="B157" s="46"/>
      <c r="C157" s="30" t="s">
        <v>112</v>
      </c>
      <c r="G157" s="51">
        <f>SUM(G159:G163)</f>
        <v>0</v>
      </c>
      <c r="H157" s="61"/>
      <c r="I157" s="419"/>
      <c r="J157" s="67">
        <v>0</v>
      </c>
      <c r="L157" s="67">
        <v>0</v>
      </c>
    </row>
    <row r="158" spans="1:12" ht="16.5" customHeight="1" x14ac:dyDescent="0.25">
      <c r="B158" s="46"/>
      <c r="C158" s="201" t="s">
        <v>115</v>
      </c>
      <c r="G158" s="51"/>
      <c r="H158" s="61"/>
      <c r="I158" s="419"/>
      <c r="J158" s="67"/>
      <c r="L158" s="67"/>
    </row>
    <row r="159" spans="1:12" ht="16.5" customHeight="1" x14ac:dyDescent="0.25">
      <c r="A159" s="118">
        <f>A155+1</f>
        <v>66</v>
      </c>
      <c r="B159" s="140">
        <v>7670001</v>
      </c>
      <c r="C159" s="47" t="s">
        <v>101</v>
      </c>
      <c r="D159" s="141" t="s">
        <v>79</v>
      </c>
      <c r="E159" s="152">
        <v>2</v>
      </c>
      <c r="F159" s="114"/>
      <c r="G159" s="189">
        <f t="shared" ref="G159" si="59">F159*E159</f>
        <v>0</v>
      </c>
      <c r="H159" s="45" t="s">
        <v>67</v>
      </c>
      <c r="I159" s="432"/>
      <c r="J159" s="151"/>
      <c r="K159" s="139"/>
      <c r="L159" s="139"/>
    </row>
    <row r="160" spans="1:12" ht="17.25" customHeight="1" x14ac:dyDescent="0.25">
      <c r="A160" s="118">
        <f t="shared" ref="A160:B163" si="60">A159+1</f>
        <v>67</v>
      </c>
      <c r="B160" s="140">
        <f>B159+1</f>
        <v>7670002</v>
      </c>
      <c r="C160" s="47" t="s">
        <v>391</v>
      </c>
      <c r="D160" s="141" t="s">
        <v>79</v>
      </c>
      <c r="E160" s="152">
        <v>1</v>
      </c>
      <c r="F160" s="114"/>
      <c r="G160" s="189">
        <f t="shared" ref="G160" si="61">F160*E160</f>
        <v>0</v>
      </c>
      <c r="H160" s="45" t="s">
        <v>67</v>
      </c>
      <c r="I160" s="432"/>
      <c r="J160" s="151"/>
      <c r="K160" s="139"/>
      <c r="L160" s="139"/>
    </row>
    <row r="161" spans="1:12" ht="17.25" customHeight="1" x14ac:dyDescent="0.25">
      <c r="A161" s="118">
        <f t="shared" si="60"/>
        <v>68</v>
      </c>
      <c r="B161" s="140">
        <f t="shared" si="60"/>
        <v>7670003</v>
      </c>
      <c r="C161" s="47" t="s">
        <v>392</v>
      </c>
      <c r="D161" s="141" t="s">
        <v>79</v>
      </c>
      <c r="E161" s="152">
        <v>1</v>
      </c>
      <c r="F161" s="114"/>
      <c r="G161" s="189">
        <f t="shared" ref="G161:G163" si="62">F161*E161</f>
        <v>0</v>
      </c>
      <c r="H161" s="45" t="s">
        <v>67</v>
      </c>
      <c r="I161" s="432"/>
      <c r="J161" s="151"/>
      <c r="K161" s="139"/>
      <c r="L161" s="139"/>
    </row>
    <row r="162" spans="1:12" ht="27.75" customHeight="1" x14ac:dyDescent="0.25">
      <c r="A162" s="118">
        <f t="shared" si="60"/>
        <v>69</v>
      </c>
      <c r="B162" s="140">
        <f t="shared" si="60"/>
        <v>7670004</v>
      </c>
      <c r="C162" s="47" t="s">
        <v>399</v>
      </c>
      <c r="D162" s="141" t="s">
        <v>79</v>
      </c>
      <c r="E162" s="152">
        <v>2</v>
      </c>
      <c r="F162" s="114"/>
      <c r="G162" s="189">
        <f t="shared" si="62"/>
        <v>0</v>
      </c>
      <c r="H162" s="45" t="s">
        <v>67</v>
      </c>
      <c r="I162" s="432"/>
      <c r="J162" s="151"/>
      <c r="K162" s="139"/>
      <c r="L162" s="139"/>
    </row>
    <row r="163" spans="1:12" ht="16.5" customHeight="1" x14ac:dyDescent="0.25">
      <c r="A163" s="118">
        <f t="shared" si="60"/>
        <v>70</v>
      </c>
      <c r="B163" s="140">
        <f t="shared" si="60"/>
        <v>7670005</v>
      </c>
      <c r="C163" s="47" t="s">
        <v>379</v>
      </c>
      <c r="D163" s="141" t="s">
        <v>79</v>
      </c>
      <c r="E163" s="152">
        <v>2</v>
      </c>
      <c r="F163" s="114"/>
      <c r="G163" s="189">
        <f t="shared" si="62"/>
        <v>0</v>
      </c>
      <c r="H163" s="45" t="s">
        <v>67</v>
      </c>
      <c r="I163" s="432"/>
      <c r="J163" s="151"/>
      <c r="K163" s="139"/>
      <c r="L163" s="139"/>
    </row>
    <row r="165" spans="1:12" ht="16.5" customHeight="1" x14ac:dyDescent="0.25">
      <c r="C165" s="30" t="s">
        <v>380</v>
      </c>
      <c r="E165" s="60"/>
      <c r="F165" s="60"/>
      <c r="G165" s="51">
        <f>SUM(G166:G170)</f>
        <v>0</v>
      </c>
      <c r="H165" s="61"/>
      <c r="I165" s="419"/>
      <c r="J165" s="67">
        <v>0</v>
      </c>
      <c r="L165" s="67">
        <v>0</v>
      </c>
    </row>
    <row r="166" spans="1:12" ht="16.5" customHeight="1" x14ac:dyDescent="0.25">
      <c r="A166" s="118">
        <f>A163+1</f>
        <v>71</v>
      </c>
      <c r="B166" s="390">
        <v>783801201</v>
      </c>
      <c r="C166" s="390" t="s">
        <v>381</v>
      </c>
      <c r="D166" s="391" t="s">
        <v>19</v>
      </c>
      <c r="E166" s="152">
        <v>56.568449999999999</v>
      </c>
      <c r="F166" s="303"/>
      <c r="G166" s="189">
        <f t="shared" ref="G166" si="63">F166*E166</f>
        <v>0</v>
      </c>
      <c r="H166" s="83" t="s">
        <v>404</v>
      </c>
      <c r="I166" s="432"/>
      <c r="J166" s="151"/>
      <c r="K166" s="139"/>
      <c r="L166" s="139"/>
    </row>
    <row r="167" spans="1:12" ht="16.5" customHeight="1" x14ac:dyDescent="0.25">
      <c r="A167" s="118"/>
      <c r="B167" s="392" t="s">
        <v>382</v>
      </c>
      <c r="C167" s="392" t="s">
        <v>383</v>
      </c>
      <c r="D167" s="393" t="s">
        <v>125</v>
      </c>
      <c r="E167" s="394">
        <v>39.456449999999997</v>
      </c>
      <c r="F167" s="303"/>
      <c r="G167" s="189"/>
      <c r="H167" s="45"/>
      <c r="I167" s="432"/>
      <c r="J167" s="151"/>
      <c r="K167" s="139"/>
      <c r="L167" s="139"/>
    </row>
    <row r="168" spans="1:12" ht="16.5" customHeight="1" x14ac:dyDescent="0.25">
      <c r="A168" s="118"/>
      <c r="B168" s="392" t="s">
        <v>386</v>
      </c>
      <c r="C168" s="392" t="s">
        <v>387</v>
      </c>
      <c r="D168" s="393" t="s">
        <v>125</v>
      </c>
      <c r="E168" s="394">
        <v>17.111999999999998</v>
      </c>
      <c r="F168" s="303"/>
      <c r="G168" s="189"/>
      <c r="H168" s="45"/>
      <c r="I168" s="432"/>
      <c r="J168" s="151"/>
      <c r="K168" s="139"/>
      <c r="L168" s="139"/>
    </row>
    <row r="169" spans="1:12" ht="16.5" customHeight="1" x14ac:dyDescent="0.25">
      <c r="A169" s="118">
        <f t="shared" ref="A169" si="64">A166+1</f>
        <v>72</v>
      </c>
      <c r="B169" s="395">
        <v>783801203</v>
      </c>
      <c r="C169" s="395" t="s">
        <v>384</v>
      </c>
      <c r="D169" s="396" t="s">
        <v>19</v>
      </c>
      <c r="E169" s="152">
        <v>56.568449999999999</v>
      </c>
      <c r="F169" s="303"/>
      <c r="G169" s="189">
        <f t="shared" ref="G169:G170" si="65">F169*E169</f>
        <v>0</v>
      </c>
      <c r="H169" s="83" t="s">
        <v>404</v>
      </c>
      <c r="I169" s="432"/>
      <c r="J169" s="151"/>
      <c r="K169" s="139"/>
      <c r="L169" s="139"/>
    </row>
    <row r="170" spans="1:12" ht="26.25" customHeight="1" x14ac:dyDescent="0.25">
      <c r="A170" s="118">
        <f t="shared" ref="A170" si="66">A169+1</f>
        <v>73</v>
      </c>
      <c r="B170" s="395">
        <v>783826605</v>
      </c>
      <c r="C170" s="395" t="s">
        <v>385</v>
      </c>
      <c r="D170" s="391" t="s">
        <v>19</v>
      </c>
      <c r="E170" s="152">
        <v>56.568449999999999</v>
      </c>
      <c r="F170" s="303"/>
      <c r="G170" s="189">
        <f t="shared" si="65"/>
        <v>0</v>
      </c>
      <c r="H170" s="83" t="s">
        <v>404</v>
      </c>
      <c r="I170" s="432"/>
      <c r="J170" s="151"/>
      <c r="K170" s="139"/>
      <c r="L170" s="139"/>
    </row>
  </sheetData>
  <pageMargins left="0.59055118110236227" right="0.47244094488188981" top="0.35433070866141736" bottom="0.6692913385826772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6F5A3-CD10-4D9B-87F2-F1C2B94C8508}">
  <sheetPr>
    <tabColor rgb="FFFFC000"/>
  </sheetPr>
  <dimension ref="A1:Z73"/>
  <sheetViews>
    <sheetView topLeftCell="A65" workbookViewId="0">
      <pane xSplit="18450" topLeftCell="C1"/>
      <selection activeCell="F66" sqref="F7:F66"/>
      <selection pane="topRight" activeCell="C25" sqref="C25"/>
    </sheetView>
  </sheetViews>
  <sheetFormatPr defaultRowHeight="15" x14ac:dyDescent="0.25"/>
  <cols>
    <col min="1" max="1" width="6.42578125" customWidth="1"/>
    <col min="2" max="2" width="13.140625" customWidth="1"/>
    <col min="3" max="3" width="63" customWidth="1"/>
    <col min="7" max="7" width="17.28515625" customWidth="1"/>
  </cols>
  <sheetData>
    <row r="1" spans="1:26" s="11" customFormat="1" ht="16.5" customHeight="1" x14ac:dyDescent="0.25">
      <c r="A1" s="1" t="s">
        <v>270</v>
      </c>
      <c r="B1" s="2"/>
      <c r="C1" s="3"/>
      <c r="D1" s="4"/>
      <c r="E1" s="5" t="s">
        <v>269</v>
      </c>
      <c r="F1" s="6"/>
      <c r="G1" s="188" t="s">
        <v>280</v>
      </c>
      <c r="H1" s="205"/>
      <c r="I1" s="54"/>
      <c r="J1" s="63"/>
      <c r="K1" s="7"/>
      <c r="L1" s="8"/>
      <c r="M1" s="10"/>
      <c r="N1" s="9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6" s="11" customFormat="1" ht="16.5" customHeight="1" x14ac:dyDescent="0.25">
      <c r="A2" s="12" t="s">
        <v>13</v>
      </c>
      <c r="B2" s="13"/>
      <c r="C2" s="14"/>
      <c r="D2" s="15"/>
      <c r="E2" s="16" t="s">
        <v>324</v>
      </c>
      <c r="F2" s="17"/>
      <c r="G2" s="49"/>
      <c r="H2" s="206"/>
      <c r="I2" s="55"/>
      <c r="J2" s="64"/>
      <c r="K2" s="18"/>
      <c r="L2" s="19"/>
      <c r="M2" s="10"/>
      <c r="N2" s="9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6" s="11" customFormat="1" ht="16.5" customHeight="1" thickBot="1" x14ac:dyDescent="0.3">
      <c r="A3" s="20" t="s">
        <v>1</v>
      </c>
      <c r="B3" s="22" t="s">
        <v>2</v>
      </c>
      <c r="C3" s="23" t="s">
        <v>3</v>
      </c>
      <c r="D3" s="22" t="s">
        <v>4</v>
      </c>
      <c r="E3" s="24" t="s">
        <v>5</v>
      </c>
      <c r="F3" s="25" t="s">
        <v>6</v>
      </c>
      <c r="G3" s="50" t="s">
        <v>7</v>
      </c>
      <c r="H3" s="26" t="s">
        <v>18</v>
      </c>
      <c r="I3" s="204" t="s">
        <v>8</v>
      </c>
      <c r="J3" s="65" t="s">
        <v>9</v>
      </c>
      <c r="K3" s="21" t="s">
        <v>10</v>
      </c>
      <c r="L3" s="26" t="s">
        <v>11</v>
      </c>
      <c r="M3" s="28"/>
      <c r="N3" s="27"/>
      <c r="O3" s="28"/>
      <c r="P3" s="28"/>
      <c r="Q3" s="28"/>
      <c r="R3" s="28"/>
      <c r="S3" s="28"/>
      <c r="T3" s="28"/>
      <c r="U3" s="28"/>
      <c r="V3" s="28"/>
      <c r="W3" s="28"/>
      <c r="X3" s="28"/>
      <c r="Y3" s="29"/>
      <c r="Z3" s="29"/>
    </row>
    <row r="4" spans="1:26" s="11" customFormat="1" ht="4.5" customHeight="1" thickTop="1" x14ac:dyDescent="0.25">
      <c r="A4" s="284"/>
      <c r="B4" s="284"/>
      <c r="C4" s="285"/>
      <c r="D4" s="284"/>
      <c r="E4" s="286"/>
      <c r="F4" s="287"/>
      <c r="G4" s="288"/>
      <c r="H4" s="284"/>
      <c r="I4" s="289"/>
      <c r="J4" s="290"/>
      <c r="K4" s="291"/>
      <c r="L4" s="284"/>
      <c r="M4" s="28"/>
      <c r="N4" s="27"/>
      <c r="O4" s="28"/>
      <c r="P4" s="28"/>
      <c r="Q4" s="28"/>
      <c r="R4" s="28"/>
      <c r="S4" s="28"/>
      <c r="T4" s="28"/>
      <c r="U4" s="28"/>
      <c r="V4" s="28"/>
      <c r="W4" s="28"/>
      <c r="X4" s="28"/>
      <c r="Y4" s="29"/>
      <c r="Z4" s="29"/>
    </row>
    <row r="5" spans="1:26" s="11" customFormat="1" ht="21" customHeight="1" x14ac:dyDescent="0.25">
      <c r="B5" s="30"/>
      <c r="C5" s="292" t="s">
        <v>324</v>
      </c>
      <c r="D5" s="31"/>
      <c r="E5" s="32"/>
      <c r="F5" s="33"/>
      <c r="G5" s="330"/>
      <c r="H5" s="34"/>
      <c r="I5" s="56"/>
      <c r="J5" s="56"/>
      <c r="K5" s="56"/>
      <c r="L5" s="56"/>
      <c r="M5" s="67"/>
      <c r="N5" s="37"/>
      <c r="O5" s="36"/>
      <c r="P5" s="36"/>
      <c r="Q5" s="36"/>
      <c r="R5" s="36"/>
      <c r="S5" s="36"/>
      <c r="T5" s="36"/>
      <c r="U5" s="36"/>
      <c r="V5" s="36"/>
      <c r="W5" s="36"/>
      <c r="X5" s="36"/>
      <c r="Y5" s="38"/>
      <c r="Z5" s="38"/>
    </row>
    <row r="6" spans="1:26" s="11" customFormat="1" ht="21" customHeight="1" x14ac:dyDescent="0.25">
      <c r="B6" s="30"/>
      <c r="C6" s="292" t="s">
        <v>325</v>
      </c>
      <c r="D6" s="31"/>
      <c r="E6" s="32"/>
      <c r="F6" s="33"/>
      <c r="G6" s="330">
        <f>SUM(G7:G8)</f>
        <v>0</v>
      </c>
      <c r="H6" s="34"/>
      <c r="I6" s="56"/>
      <c r="J6" s="67">
        <f>SUM(J7:J8)</f>
        <v>0</v>
      </c>
      <c r="K6" s="35"/>
      <c r="L6" s="67">
        <f>SUM(L7:L8)</f>
        <v>0</v>
      </c>
      <c r="M6" s="67"/>
      <c r="N6" s="37"/>
      <c r="O6" s="36"/>
      <c r="P6" s="36"/>
      <c r="Q6" s="36"/>
      <c r="R6" s="36"/>
      <c r="S6" s="36"/>
      <c r="T6" s="36"/>
      <c r="U6" s="36"/>
      <c r="V6" s="36"/>
      <c r="W6" s="36"/>
      <c r="X6" s="36"/>
      <c r="Y6" s="38"/>
      <c r="Z6" s="38"/>
    </row>
    <row r="7" spans="1:26" s="134" customFormat="1" ht="29.25" customHeight="1" x14ac:dyDescent="0.25">
      <c r="A7" s="293">
        <v>1</v>
      </c>
      <c r="B7" s="140">
        <v>111211101</v>
      </c>
      <c r="C7" s="140" t="s">
        <v>291</v>
      </c>
      <c r="D7" s="301" t="s">
        <v>36</v>
      </c>
      <c r="E7" s="114">
        <v>96.2</v>
      </c>
      <c r="F7" s="124"/>
      <c r="G7" s="52">
        <f>E7*F7</f>
        <v>0</v>
      </c>
      <c r="H7" s="83" t="s">
        <v>404</v>
      </c>
      <c r="I7" s="85">
        <v>0</v>
      </c>
      <c r="J7" s="66">
        <f>E59*I7</f>
        <v>0</v>
      </c>
      <c r="K7" s="85">
        <v>0</v>
      </c>
      <c r="L7" s="40">
        <f>E59*K7</f>
        <v>0</v>
      </c>
    </row>
    <row r="8" spans="1:26" s="134" customFormat="1" ht="29.25" customHeight="1" x14ac:dyDescent="0.25">
      <c r="A8" s="293">
        <f>A7+1</f>
        <v>2</v>
      </c>
      <c r="B8" s="140">
        <v>112201113</v>
      </c>
      <c r="C8" s="140" t="s">
        <v>292</v>
      </c>
      <c r="D8" s="141" t="s">
        <v>168</v>
      </c>
      <c r="E8" s="303">
        <v>7</v>
      </c>
      <c r="F8" s="124"/>
      <c r="G8" s="52">
        <f>E8*F8</f>
        <v>0</v>
      </c>
      <c r="H8" s="83" t="s">
        <v>404</v>
      </c>
      <c r="I8" s="85">
        <v>0</v>
      </c>
      <c r="J8" s="66">
        <f>'[5]lavičky beton'!E51*I8</f>
        <v>0</v>
      </c>
      <c r="K8" s="85">
        <v>0</v>
      </c>
    </row>
    <row r="10" spans="1:26" x14ac:dyDescent="0.25">
      <c r="C10" s="292" t="s">
        <v>326</v>
      </c>
      <c r="D10" s="331"/>
      <c r="E10" s="331"/>
      <c r="F10" s="332"/>
      <c r="G10" s="330">
        <f>SUM(G11:G25)</f>
        <v>0</v>
      </c>
      <c r="H10" s="83" t="s">
        <v>404</v>
      </c>
      <c r="J10" s="67">
        <f>SUM(J11:J25)</f>
        <v>13.478400000000002</v>
      </c>
      <c r="K10" s="35"/>
      <c r="L10" s="67">
        <f>SUM(L11:L25)</f>
        <v>0</v>
      </c>
    </row>
    <row r="11" spans="1:26" s="11" customFormat="1" ht="39" customHeight="1" x14ac:dyDescent="0.25">
      <c r="A11" s="293">
        <f>A8+1</f>
        <v>3</v>
      </c>
      <c r="B11" s="47">
        <v>132251255</v>
      </c>
      <c r="C11" s="47" t="s">
        <v>327</v>
      </c>
      <c r="D11" s="295" t="s">
        <v>31</v>
      </c>
      <c r="E11" s="333">
        <f>E22</f>
        <v>69.795000000000002</v>
      </c>
      <c r="F11" s="114"/>
      <c r="G11" s="52">
        <f>E11*F11</f>
        <v>0</v>
      </c>
      <c r="H11" s="83" t="s">
        <v>404</v>
      </c>
      <c r="I11" s="138">
        <v>0</v>
      </c>
      <c r="J11" s="66">
        <f>E11*I11</f>
        <v>0</v>
      </c>
      <c r="K11" s="85">
        <v>0</v>
      </c>
      <c r="L11" s="40">
        <f t="shared" ref="L11:L25" si="0">E11*K11</f>
        <v>0</v>
      </c>
      <c r="M11" s="67"/>
      <c r="N11" s="37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8"/>
      <c r="Z11" s="38"/>
    </row>
    <row r="12" spans="1:26" s="11" customFormat="1" ht="39" customHeight="1" x14ac:dyDescent="0.25">
      <c r="A12" s="293">
        <f>A11+1</f>
        <v>4</v>
      </c>
      <c r="B12" s="47">
        <v>132212211</v>
      </c>
      <c r="C12" s="47" t="s">
        <v>328</v>
      </c>
      <c r="D12" s="295" t="s">
        <v>31</v>
      </c>
      <c r="E12" s="333">
        <f>E23</f>
        <v>106.25294999999998</v>
      </c>
      <c r="F12" s="114"/>
      <c r="G12" s="52">
        <f>E12*F12</f>
        <v>0</v>
      </c>
      <c r="H12" s="83" t="s">
        <v>404</v>
      </c>
      <c r="I12" s="138">
        <v>0</v>
      </c>
      <c r="J12" s="66">
        <f>E12*I12</f>
        <v>0</v>
      </c>
      <c r="K12" s="85">
        <v>0</v>
      </c>
      <c r="L12" s="40">
        <f t="shared" si="0"/>
        <v>0</v>
      </c>
      <c r="M12" s="67"/>
      <c r="N12" s="37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8"/>
      <c r="Z12" s="38"/>
    </row>
    <row r="13" spans="1:26" s="11" customFormat="1" ht="15.75" customHeight="1" x14ac:dyDescent="0.25">
      <c r="A13" s="44"/>
      <c r="B13" s="78" t="s">
        <v>329</v>
      </c>
      <c r="C13" s="334" t="s">
        <v>330</v>
      </c>
      <c r="D13" s="335" t="s">
        <v>31</v>
      </c>
      <c r="E13" s="336">
        <f>2.4*0.7*1.04*8</f>
        <v>13.977600000000001</v>
      </c>
      <c r="F13" s="44"/>
      <c r="G13" s="337"/>
      <c r="H13" s="44"/>
      <c r="I13" s="338"/>
      <c r="J13" s="338"/>
      <c r="K13" s="85">
        <v>0</v>
      </c>
      <c r="L13" s="40">
        <f t="shared" si="0"/>
        <v>0</v>
      </c>
      <c r="M13" s="67"/>
      <c r="N13" s="37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8"/>
      <c r="Z13" s="38"/>
    </row>
    <row r="14" spans="1:26" s="11" customFormat="1" ht="15.75" customHeight="1" x14ac:dyDescent="0.25">
      <c r="A14" s="44"/>
      <c r="B14" s="78"/>
      <c r="C14" s="334" t="s">
        <v>331</v>
      </c>
      <c r="D14" s="335" t="s">
        <v>31</v>
      </c>
      <c r="E14" s="336">
        <f>2.4*0.8*1.04*10</f>
        <v>19.968</v>
      </c>
      <c r="F14" s="44"/>
      <c r="G14" s="337"/>
      <c r="H14" s="44"/>
      <c r="I14" s="338"/>
      <c r="J14" s="338"/>
      <c r="K14" s="85">
        <v>0</v>
      </c>
      <c r="L14" s="40">
        <f t="shared" si="0"/>
        <v>0</v>
      </c>
      <c r="M14" s="67"/>
      <c r="N14" s="37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8"/>
      <c r="Z14" s="38"/>
    </row>
    <row r="15" spans="1:26" s="11" customFormat="1" ht="15.75" customHeight="1" x14ac:dyDescent="0.25">
      <c r="A15" s="44"/>
      <c r="B15" s="78"/>
      <c r="C15" s="334" t="s">
        <v>332</v>
      </c>
      <c r="D15" s="335" t="s">
        <v>31</v>
      </c>
      <c r="E15" s="336">
        <f>2.4*1*1.04*6</f>
        <v>14.975999999999999</v>
      </c>
      <c r="F15" s="44"/>
      <c r="G15" s="337"/>
      <c r="H15" s="44"/>
      <c r="I15" s="338"/>
      <c r="J15" s="338"/>
      <c r="K15" s="85">
        <v>0</v>
      </c>
      <c r="L15" s="40">
        <f t="shared" si="0"/>
        <v>0</v>
      </c>
      <c r="M15" s="67"/>
      <c r="N15" s="37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8"/>
      <c r="Z15" s="38"/>
    </row>
    <row r="16" spans="1:26" s="11" customFormat="1" ht="15.75" customHeight="1" x14ac:dyDescent="0.25">
      <c r="A16" s="44"/>
      <c r="B16" s="78"/>
      <c r="C16" s="334" t="s">
        <v>333</v>
      </c>
      <c r="D16" s="335" t="s">
        <v>31</v>
      </c>
      <c r="E16" s="336">
        <f>2.4*1.4*1.04*11</f>
        <v>38.438400000000001</v>
      </c>
      <c r="F16" s="44"/>
      <c r="G16" s="337"/>
      <c r="H16" s="44"/>
      <c r="I16" s="338"/>
      <c r="J16" s="338"/>
      <c r="K16" s="85">
        <v>0</v>
      </c>
      <c r="L16" s="40">
        <f t="shared" si="0"/>
        <v>0</v>
      </c>
      <c r="M16" s="67"/>
      <c r="N16" s="37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8"/>
      <c r="Z16" s="38"/>
    </row>
    <row r="17" spans="1:26" s="11" customFormat="1" ht="15.75" customHeight="1" x14ac:dyDescent="0.25">
      <c r="A17" s="44"/>
      <c r="B17" s="78"/>
      <c r="C17" s="334" t="s">
        <v>334</v>
      </c>
      <c r="D17" s="335" t="s">
        <v>31</v>
      </c>
      <c r="E17" s="336">
        <f>1.8*1.8*1.04*2</f>
        <v>6.7392000000000003</v>
      </c>
      <c r="F17" s="44"/>
      <c r="G17" s="337"/>
      <c r="H17" s="44"/>
      <c r="I17" s="338"/>
      <c r="J17" s="338"/>
      <c r="K17" s="85">
        <v>0</v>
      </c>
      <c r="L17" s="40">
        <f t="shared" si="0"/>
        <v>0</v>
      </c>
      <c r="M17" s="67"/>
      <c r="N17" s="37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8"/>
      <c r="Z17" s="38"/>
    </row>
    <row r="18" spans="1:26" s="11" customFormat="1" ht="15.75" customHeight="1" x14ac:dyDescent="0.25">
      <c r="A18" s="44"/>
      <c r="B18" s="78" t="s">
        <v>335</v>
      </c>
      <c r="C18" s="334" t="s">
        <v>336</v>
      </c>
      <c r="D18" s="335" t="s">
        <v>31</v>
      </c>
      <c r="E18" s="336">
        <f>((1+1.3)*0.5*2.4+2.05*1.3*0.5)*1.05</f>
        <v>4.2971249999999994</v>
      </c>
      <c r="F18" s="44"/>
      <c r="G18" s="337"/>
      <c r="H18" s="44"/>
      <c r="I18" s="338"/>
      <c r="J18" s="338"/>
      <c r="K18" s="85">
        <v>0</v>
      </c>
      <c r="L18" s="40">
        <f t="shared" si="0"/>
        <v>0</v>
      </c>
      <c r="M18" s="67"/>
      <c r="N18" s="37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8"/>
      <c r="Z18" s="38"/>
    </row>
    <row r="19" spans="1:26" s="11" customFormat="1" ht="15.75" customHeight="1" x14ac:dyDescent="0.25">
      <c r="A19" s="44"/>
      <c r="B19" s="78"/>
      <c r="C19" s="334" t="s">
        <v>337</v>
      </c>
      <c r="D19" s="335" t="s">
        <v>31</v>
      </c>
      <c r="E19" s="336">
        <f>(1.5*2.05+2.05*2.15)*1.05</f>
        <v>7.8566250000000002</v>
      </c>
      <c r="F19" s="44"/>
      <c r="G19" s="337"/>
      <c r="H19" s="44"/>
      <c r="I19" s="338"/>
      <c r="J19" s="338"/>
      <c r="K19" s="85"/>
      <c r="L19" s="40"/>
      <c r="M19" s="67"/>
      <c r="N19" s="37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8"/>
      <c r="Z19" s="38"/>
    </row>
    <row r="20" spans="1:26" s="11" customFormat="1" ht="15.75" customHeight="1" x14ac:dyDescent="0.25">
      <c r="A20" s="44"/>
      <c r="B20" s="339" t="s">
        <v>338</v>
      </c>
      <c r="C20" s="340" t="s">
        <v>339</v>
      </c>
      <c r="D20" s="341" t="s">
        <v>31</v>
      </c>
      <c r="E20" s="342">
        <f>0.45*(1.04-0.49)*(66*4+2*9)</f>
        <v>69.795000000000002</v>
      </c>
      <c r="F20" s="44"/>
      <c r="G20" s="337"/>
      <c r="H20" s="44"/>
      <c r="I20" s="338"/>
      <c r="J20" s="338"/>
      <c r="K20" s="85">
        <v>0</v>
      </c>
      <c r="L20" s="40">
        <f t="shared" si="0"/>
        <v>0</v>
      </c>
      <c r="M20" s="67"/>
      <c r="N20" s="37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8"/>
      <c r="Z20" s="38"/>
    </row>
    <row r="21" spans="1:26" s="11" customFormat="1" ht="15.75" customHeight="1" x14ac:dyDescent="0.25">
      <c r="A21" s="44"/>
      <c r="B21" s="343"/>
      <c r="C21" s="344" t="s">
        <v>340</v>
      </c>
      <c r="D21" s="345" t="s">
        <v>31</v>
      </c>
      <c r="E21" s="346">
        <f>SUM(E13:E20)</f>
        <v>176.04794999999999</v>
      </c>
      <c r="F21" s="44"/>
      <c r="G21" s="337"/>
      <c r="H21" s="44"/>
      <c r="I21" s="338"/>
      <c r="J21" s="338"/>
      <c r="K21" s="85">
        <v>0</v>
      </c>
      <c r="L21" s="40">
        <f t="shared" si="0"/>
        <v>0</v>
      </c>
      <c r="M21" s="67"/>
      <c r="N21" s="37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8"/>
      <c r="Z21" s="38"/>
    </row>
    <row r="22" spans="1:26" s="11" customFormat="1" ht="15.75" customHeight="1" x14ac:dyDescent="0.25">
      <c r="A22" s="44"/>
      <c r="B22" s="343"/>
      <c r="C22" s="347" t="s">
        <v>341</v>
      </c>
      <c r="D22" s="335" t="s">
        <v>31</v>
      </c>
      <c r="E22" s="336">
        <f>E20</f>
        <v>69.795000000000002</v>
      </c>
      <c r="F22" s="44"/>
      <c r="G22" s="337"/>
      <c r="H22" s="44"/>
      <c r="I22" s="338"/>
      <c r="J22" s="338"/>
      <c r="K22" s="85">
        <v>0</v>
      </c>
      <c r="L22" s="40">
        <f t="shared" si="0"/>
        <v>0</v>
      </c>
      <c r="M22" s="67"/>
      <c r="N22" s="37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8"/>
      <c r="Z22" s="38"/>
    </row>
    <row r="23" spans="1:26" s="11" customFormat="1" ht="15.75" customHeight="1" x14ac:dyDescent="0.25">
      <c r="A23" s="44"/>
      <c r="B23" s="343"/>
      <c r="C23" s="347" t="s">
        <v>342</v>
      </c>
      <c r="D23" s="335" t="s">
        <v>31</v>
      </c>
      <c r="E23" s="336">
        <f>E21-E22</f>
        <v>106.25294999999998</v>
      </c>
      <c r="F23" s="44"/>
      <c r="G23" s="337"/>
      <c r="H23" s="44"/>
      <c r="I23" s="338"/>
      <c r="J23" s="338"/>
      <c r="K23" s="85">
        <v>0</v>
      </c>
      <c r="L23" s="40">
        <f t="shared" si="0"/>
        <v>0</v>
      </c>
      <c r="M23" s="67"/>
      <c r="N23" s="37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8"/>
      <c r="Z23" s="38"/>
    </row>
    <row r="24" spans="1:26" s="11" customFormat="1" ht="24.75" customHeight="1" x14ac:dyDescent="0.25">
      <c r="A24" s="293">
        <f>A12+1</f>
        <v>5</v>
      </c>
      <c r="B24" s="47">
        <v>271532212</v>
      </c>
      <c r="C24" s="47" t="s">
        <v>343</v>
      </c>
      <c r="D24" s="295" t="s">
        <v>31</v>
      </c>
      <c r="E24" s="333">
        <f>0.6*0.65*(35*4+2*7+1*6)*0.1</f>
        <v>6.2400000000000011</v>
      </c>
      <c r="F24" s="43"/>
      <c r="G24" s="52">
        <f>E24*F24</f>
        <v>0</v>
      </c>
      <c r="H24" s="83" t="s">
        <v>404</v>
      </c>
      <c r="I24" s="138">
        <v>2.16</v>
      </c>
      <c r="J24" s="66">
        <f>E24*I24</f>
        <v>13.478400000000002</v>
      </c>
      <c r="K24" s="85">
        <v>0</v>
      </c>
      <c r="L24" s="40">
        <f t="shared" si="0"/>
        <v>0</v>
      </c>
      <c r="M24" s="67"/>
      <c r="N24" s="37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8"/>
      <c r="Z24" s="38"/>
    </row>
    <row r="25" spans="1:26" s="11" customFormat="1" ht="15.75" customHeight="1" x14ac:dyDescent="0.25">
      <c r="A25" s="44"/>
      <c r="B25" s="43" t="s">
        <v>344</v>
      </c>
      <c r="C25" s="340" t="s">
        <v>345</v>
      </c>
      <c r="D25" s="335"/>
      <c r="E25" s="348"/>
      <c r="F25" s="44"/>
      <c r="G25" s="337"/>
      <c r="H25" s="44"/>
      <c r="I25" s="338"/>
      <c r="J25" s="338"/>
      <c r="K25" s="85">
        <v>0</v>
      </c>
      <c r="L25" s="40">
        <f t="shared" si="0"/>
        <v>0</v>
      </c>
      <c r="M25" s="67"/>
      <c r="N25" s="37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8"/>
      <c r="Z25" s="38"/>
    </row>
    <row r="26" spans="1:26" ht="58.5" customHeight="1" x14ac:dyDescent="0.25"/>
    <row r="27" spans="1:26" ht="18" customHeight="1" x14ac:dyDescent="0.25">
      <c r="C27" s="292" t="s">
        <v>346</v>
      </c>
      <c r="D27" s="331"/>
      <c r="E27" s="331"/>
      <c r="F27" s="331"/>
      <c r="G27" s="330">
        <f>SUM(G28:G54)</f>
        <v>0</v>
      </c>
      <c r="J27" s="67">
        <f>SUM(J28:J54)</f>
        <v>49.352964062500007</v>
      </c>
      <c r="K27" s="35"/>
      <c r="L27" s="67">
        <f>SUM('[5]lavičky beton'!L53:L77)</f>
        <v>0</v>
      </c>
    </row>
    <row r="28" spans="1:26" s="134" customFormat="1" ht="30" customHeight="1" x14ac:dyDescent="0.25">
      <c r="A28" s="293">
        <f>A24+1</f>
        <v>6</v>
      </c>
      <c r="B28" s="47">
        <v>184102115</v>
      </c>
      <c r="C28" s="47" t="s">
        <v>347</v>
      </c>
      <c r="D28" s="110" t="s">
        <v>168</v>
      </c>
      <c r="E28" s="62">
        <f>SUM(E29:E31)</f>
        <v>40</v>
      </c>
      <c r="F28" s="130"/>
      <c r="G28" s="52">
        <f t="shared" ref="G28:G32" si="1">E28*F28</f>
        <v>0</v>
      </c>
      <c r="H28" s="83" t="s">
        <v>404</v>
      </c>
      <c r="I28" s="86">
        <v>0</v>
      </c>
      <c r="J28" s="66">
        <f t="shared" ref="J28:J32" si="2">E28*I28</f>
        <v>0</v>
      </c>
      <c r="K28" s="86">
        <v>0</v>
      </c>
      <c r="L28" s="40">
        <f>E28*K28</f>
        <v>0</v>
      </c>
    </row>
    <row r="29" spans="1:26" s="134" customFormat="1" ht="17.25" customHeight="1" x14ac:dyDescent="0.25">
      <c r="A29" s="293">
        <f>A28+1</f>
        <v>7</v>
      </c>
      <c r="B29" s="349">
        <v>1841010</v>
      </c>
      <c r="C29" s="350" t="s">
        <v>348</v>
      </c>
      <c r="D29" s="351" t="s">
        <v>103</v>
      </c>
      <c r="E29" s="349">
        <v>16</v>
      </c>
      <c r="F29" s="352"/>
      <c r="G29" s="353">
        <f t="shared" si="1"/>
        <v>0</v>
      </c>
      <c r="H29" s="354" t="s">
        <v>281</v>
      </c>
      <c r="I29" s="85">
        <v>0</v>
      </c>
      <c r="J29" s="66">
        <f t="shared" si="2"/>
        <v>0</v>
      </c>
      <c r="K29" s="85">
        <v>0</v>
      </c>
      <c r="L29" s="40">
        <f>E29*K29</f>
        <v>0</v>
      </c>
    </row>
    <row r="30" spans="1:26" s="134" customFormat="1" ht="17.25" customHeight="1" x14ac:dyDescent="0.25">
      <c r="A30" s="293">
        <f t="shared" ref="A30:A31" si="3">A29+1</f>
        <v>8</v>
      </c>
      <c r="B30" s="349">
        <f>B29+1</f>
        <v>1841011</v>
      </c>
      <c r="C30" s="350" t="s">
        <v>349</v>
      </c>
      <c r="D30" s="351" t="s">
        <v>103</v>
      </c>
      <c r="E30" s="349">
        <v>20</v>
      </c>
      <c r="F30" s="352"/>
      <c r="G30" s="353">
        <f t="shared" si="1"/>
        <v>0</v>
      </c>
      <c r="H30" s="354" t="s">
        <v>281</v>
      </c>
      <c r="I30" s="85">
        <v>0</v>
      </c>
      <c r="J30" s="66">
        <f t="shared" si="2"/>
        <v>0</v>
      </c>
      <c r="K30" s="85">
        <v>0</v>
      </c>
      <c r="L30" s="40">
        <f>E31*K30</f>
        <v>0</v>
      </c>
    </row>
    <row r="31" spans="1:26" s="134" customFormat="1" ht="17.25" customHeight="1" x14ac:dyDescent="0.25">
      <c r="A31" s="293">
        <f t="shared" si="3"/>
        <v>9</v>
      </c>
      <c r="B31" s="349">
        <f>B30+1</f>
        <v>1841012</v>
      </c>
      <c r="C31" s="350" t="s">
        <v>350</v>
      </c>
      <c r="D31" s="351" t="s">
        <v>103</v>
      </c>
      <c r="E31" s="349">
        <v>4</v>
      </c>
      <c r="F31" s="352"/>
      <c r="G31" s="353">
        <f t="shared" si="1"/>
        <v>0</v>
      </c>
      <c r="H31" s="354" t="s">
        <v>281</v>
      </c>
      <c r="I31" s="85">
        <v>0</v>
      </c>
      <c r="J31" s="66">
        <f t="shared" si="2"/>
        <v>0</v>
      </c>
      <c r="K31" s="85">
        <v>0</v>
      </c>
      <c r="L31" s="40">
        <f>E33*K31</f>
        <v>0</v>
      </c>
    </row>
    <row r="32" spans="1:26" s="134" customFormat="1" ht="24.75" customHeight="1" x14ac:dyDescent="0.25">
      <c r="A32" s="293">
        <f>A31+1</f>
        <v>10</v>
      </c>
      <c r="B32" s="47">
        <v>174111101</v>
      </c>
      <c r="C32" s="47" t="s">
        <v>351</v>
      </c>
      <c r="D32" s="295" t="s">
        <v>31</v>
      </c>
      <c r="E32" s="209">
        <f>E37+E38</f>
        <v>103.858125</v>
      </c>
      <c r="F32" s="209"/>
      <c r="G32" s="52">
        <f t="shared" si="1"/>
        <v>0</v>
      </c>
      <c r="H32" s="83" t="s">
        <v>404</v>
      </c>
      <c r="I32" s="85">
        <v>0</v>
      </c>
      <c r="J32" s="66">
        <f t="shared" si="2"/>
        <v>0</v>
      </c>
      <c r="K32" s="85">
        <v>0</v>
      </c>
      <c r="L32" s="40">
        <f>E32*K32</f>
        <v>0</v>
      </c>
    </row>
    <row r="33" spans="1:12" s="134" customFormat="1" ht="16.5" customHeight="1" x14ac:dyDescent="0.25">
      <c r="A33" s="293"/>
      <c r="B33" s="78" t="s">
        <v>329</v>
      </c>
      <c r="C33" s="334" t="s">
        <v>352</v>
      </c>
      <c r="D33" s="335" t="s">
        <v>23</v>
      </c>
      <c r="E33" s="336">
        <f>2.4*(0.7-0.5)*8+(0.8-0.5)*10+(1-0.5)*6+(1.4-0.5)*11+(1.8-0.5)*1.8*2</f>
        <v>24.419999999999998</v>
      </c>
      <c r="F33" s="130"/>
      <c r="G33" s="52"/>
      <c r="H33" s="83"/>
      <c r="I33" s="85"/>
      <c r="J33" s="66"/>
      <c r="K33" s="85"/>
      <c r="L33" s="40"/>
    </row>
    <row r="34" spans="1:12" s="134" customFormat="1" ht="16.5" customHeight="1" x14ac:dyDescent="0.25">
      <c r="A34" s="293"/>
      <c r="B34" s="78" t="s">
        <v>353</v>
      </c>
      <c r="C34" s="334" t="s">
        <v>354</v>
      </c>
      <c r="D34" s="335" t="s">
        <v>23</v>
      </c>
      <c r="E34" s="336">
        <f>((1+1.3)*0.5*2.4+2.05*1.3*0.5)-2.4*0.5</f>
        <v>2.8924999999999992</v>
      </c>
      <c r="F34" s="130"/>
      <c r="G34" s="52"/>
      <c r="H34" s="83"/>
      <c r="I34" s="85"/>
      <c r="J34" s="66"/>
      <c r="K34" s="85"/>
      <c r="L34" s="40"/>
    </row>
    <row r="35" spans="1:12" s="134" customFormat="1" ht="16.5" customHeight="1" x14ac:dyDescent="0.25">
      <c r="A35" s="293"/>
      <c r="B35" s="78"/>
      <c r="C35" s="334" t="s">
        <v>355</v>
      </c>
      <c r="D35" s="341" t="s">
        <v>23</v>
      </c>
      <c r="E35" s="355">
        <f>1.5*(2.05*0.5)+2.05*(2.15-0.5)</f>
        <v>4.919999999999999</v>
      </c>
      <c r="F35" s="130"/>
      <c r="G35" s="52"/>
      <c r="H35" s="83"/>
      <c r="I35" s="85"/>
      <c r="J35" s="66"/>
      <c r="K35" s="85"/>
      <c r="L35" s="40"/>
    </row>
    <row r="36" spans="1:12" s="134" customFormat="1" ht="16.5" customHeight="1" x14ac:dyDescent="0.25">
      <c r="A36" s="293"/>
      <c r="B36" s="78"/>
      <c r="C36" s="356" t="s">
        <v>356</v>
      </c>
      <c r="D36" s="357" t="s">
        <v>23</v>
      </c>
      <c r="E36" s="358">
        <f>SUM(E33:E35)</f>
        <v>32.232499999999995</v>
      </c>
      <c r="F36" s="130"/>
      <c r="G36" s="52"/>
      <c r="H36" s="83"/>
      <c r="I36" s="85"/>
      <c r="J36" s="66"/>
      <c r="K36" s="85"/>
      <c r="L36" s="40"/>
    </row>
    <row r="37" spans="1:12" s="134" customFormat="1" ht="16.5" customHeight="1" x14ac:dyDescent="0.25">
      <c r="A37" s="293"/>
      <c r="B37" s="78"/>
      <c r="C37" s="344" t="s">
        <v>357</v>
      </c>
      <c r="D37" s="359" t="s">
        <v>31</v>
      </c>
      <c r="E37" s="360">
        <f>E36*0.25</f>
        <v>8.0581249999999986</v>
      </c>
      <c r="F37" s="130"/>
      <c r="G37" s="52"/>
      <c r="H37" s="83"/>
      <c r="I37" s="85"/>
      <c r="J37" s="66"/>
      <c r="K37" s="85"/>
      <c r="L37" s="40"/>
    </row>
    <row r="38" spans="1:12" s="134" customFormat="1" ht="16.5" customHeight="1" x14ac:dyDescent="0.25">
      <c r="A38" s="293"/>
      <c r="B38" s="78"/>
      <c r="C38" s="78" t="s">
        <v>358</v>
      </c>
      <c r="D38" s="359" t="s">
        <v>31</v>
      </c>
      <c r="E38" s="360">
        <v>95.8</v>
      </c>
      <c r="F38" s="130"/>
      <c r="G38" s="52"/>
      <c r="H38" s="83"/>
      <c r="I38" s="85"/>
      <c r="J38" s="66"/>
      <c r="K38" s="85"/>
      <c r="L38" s="40"/>
    </row>
    <row r="39" spans="1:12" s="134" customFormat="1" ht="17.25" customHeight="1" x14ac:dyDescent="0.25">
      <c r="A39" s="293">
        <f>A32+1</f>
        <v>11</v>
      </c>
      <c r="B39" s="349">
        <f>B31+1</f>
        <v>1841013</v>
      </c>
      <c r="C39" s="361" t="s">
        <v>359</v>
      </c>
      <c r="D39" s="351" t="s">
        <v>31</v>
      </c>
      <c r="E39" s="362">
        <f>E37*1.05</f>
        <v>8.4610312499999996</v>
      </c>
      <c r="F39" s="363"/>
      <c r="G39" s="353">
        <f t="shared" ref="G39:G54" si="4">E39*F39</f>
        <v>0</v>
      </c>
      <c r="H39" s="354" t="s">
        <v>281</v>
      </c>
      <c r="I39" s="85">
        <v>0.45</v>
      </c>
      <c r="J39" s="66">
        <f>E39*I39</f>
        <v>3.8074640624999998</v>
      </c>
      <c r="K39" s="85">
        <v>0</v>
      </c>
      <c r="L39" s="40">
        <f>E39*K39</f>
        <v>0</v>
      </c>
    </row>
    <row r="40" spans="1:12" s="134" customFormat="1" ht="17.25" customHeight="1" x14ac:dyDescent="0.25">
      <c r="A40" s="293">
        <f t="shared" ref="A40:B48" si="5">A39+1</f>
        <v>12</v>
      </c>
      <c r="B40" s="349">
        <f t="shared" si="5"/>
        <v>1841014</v>
      </c>
      <c r="C40" s="361" t="s">
        <v>360</v>
      </c>
      <c r="D40" s="351" t="s">
        <v>31</v>
      </c>
      <c r="E40" s="362">
        <f>E38*1.05</f>
        <v>100.59</v>
      </c>
      <c r="F40" s="363"/>
      <c r="G40" s="353">
        <f t="shared" si="4"/>
        <v>0</v>
      </c>
      <c r="H40" s="354" t="s">
        <v>281</v>
      </c>
      <c r="I40" s="85">
        <v>0.45</v>
      </c>
      <c r="J40" s="66">
        <f>E40*I40</f>
        <v>45.265500000000003</v>
      </c>
      <c r="K40" s="85">
        <v>0</v>
      </c>
      <c r="L40" s="40">
        <f>E40*K40</f>
        <v>0</v>
      </c>
    </row>
    <row r="41" spans="1:12" s="134" customFormat="1" ht="17.25" customHeight="1" x14ac:dyDescent="0.25">
      <c r="A41" s="293">
        <f t="shared" si="5"/>
        <v>13</v>
      </c>
      <c r="B41" s="114">
        <f t="shared" si="5"/>
        <v>1841015</v>
      </c>
      <c r="C41" s="294" t="s">
        <v>282</v>
      </c>
      <c r="D41" s="295" t="s">
        <v>283</v>
      </c>
      <c r="E41" s="364">
        <f>E39*0.5</f>
        <v>4.2305156249999998</v>
      </c>
      <c r="F41" s="296"/>
      <c r="G41" s="52">
        <f t="shared" si="4"/>
        <v>0</v>
      </c>
      <c r="H41" s="297" t="s">
        <v>281</v>
      </c>
      <c r="I41" s="85">
        <v>0</v>
      </c>
      <c r="J41" s="66">
        <f>E42*I41</f>
        <v>0</v>
      </c>
      <c r="K41" s="85">
        <v>0</v>
      </c>
      <c r="L41" s="40">
        <f t="shared" ref="L41:L47" si="6">E42*K41</f>
        <v>0</v>
      </c>
    </row>
    <row r="42" spans="1:12" s="134" customFormat="1" ht="17.25" customHeight="1" x14ac:dyDescent="0.25">
      <c r="A42" s="293">
        <f t="shared" si="5"/>
        <v>14</v>
      </c>
      <c r="B42" s="349">
        <f t="shared" si="5"/>
        <v>1841016</v>
      </c>
      <c r="C42" s="361" t="s">
        <v>284</v>
      </c>
      <c r="D42" s="351" t="s">
        <v>283</v>
      </c>
      <c r="E42" s="362">
        <f>0.5*E39</f>
        <v>4.2305156249999998</v>
      </c>
      <c r="F42" s="363"/>
      <c r="G42" s="353">
        <f t="shared" si="4"/>
        <v>0</v>
      </c>
      <c r="H42" s="354" t="s">
        <v>281</v>
      </c>
      <c r="I42" s="85">
        <v>0</v>
      </c>
      <c r="J42" s="66">
        <f>E43*I42</f>
        <v>0</v>
      </c>
      <c r="K42" s="85">
        <v>0</v>
      </c>
      <c r="L42" s="40">
        <f t="shared" si="6"/>
        <v>0</v>
      </c>
    </row>
    <row r="43" spans="1:12" s="134" customFormat="1" ht="17.25" customHeight="1" x14ac:dyDescent="0.25">
      <c r="A43" s="293">
        <f t="shared" si="5"/>
        <v>15</v>
      </c>
      <c r="B43" s="114">
        <f t="shared" si="5"/>
        <v>1841017</v>
      </c>
      <c r="C43" s="294" t="s">
        <v>285</v>
      </c>
      <c r="D43" s="295" t="s">
        <v>283</v>
      </c>
      <c r="E43" s="365">
        <f>12*E39</f>
        <v>101.532375</v>
      </c>
      <c r="F43" s="296"/>
      <c r="G43" s="52">
        <f t="shared" si="4"/>
        <v>0</v>
      </c>
      <c r="H43" s="297" t="s">
        <v>281</v>
      </c>
      <c r="I43" s="85">
        <v>0</v>
      </c>
      <c r="J43" s="66">
        <f>E44*I43</f>
        <v>0</v>
      </c>
      <c r="K43" s="85">
        <v>0</v>
      </c>
      <c r="L43" s="40">
        <f t="shared" si="6"/>
        <v>0</v>
      </c>
    </row>
    <row r="44" spans="1:12" s="134" customFormat="1" ht="17.25" customHeight="1" x14ac:dyDescent="0.25">
      <c r="A44" s="293">
        <f t="shared" si="5"/>
        <v>16</v>
      </c>
      <c r="B44" s="349">
        <f t="shared" si="5"/>
        <v>1841018</v>
      </c>
      <c r="C44" s="361" t="s">
        <v>286</v>
      </c>
      <c r="D44" s="351" t="s">
        <v>283</v>
      </c>
      <c r="E44" s="362">
        <f>12*E39</f>
        <v>101.532375</v>
      </c>
      <c r="F44" s="363"/>
      <c r="G44" s="353">
        <f t="shared" si="4"/>
        <v>0</v>
      </c>
      <c r="H44" s="354" t="s">
        <v>281</v>
      </c>
      <c r="I44" s="85">
        <v>0</v>
      </c>
      <c r="J44" s="66">
        <f>E45*I44</f>
        <v>0</v>
      </c>
      <c r="K44" s="85">
        <v>0</v>
      </c>
      <c r="L44" s="40">
        <f t="shared" si="6"/>
        <v>0</v>
      </c>
    </row>
    <row r="45" spans="1:12" s="134" customFormat="1" ht="27.75" customHeight="1" x14ac:dyDescent="0.25">
      <c r="A45" s="293">
        <f t="shared" si="5"/>
        <v>17</v>
      </c>
      <c r="B45" s="114">
        <f t="shared" si="5"/>
        <v>1841019</v>
      </c>
      <c r="C45" s="298" t="s">
        <v>287</v>
      </c>
      <c r="D45" s="295" t="s">
        <v>283</v>
      </c>
      <c r="E45" s="365">
        <f>E39*1.5</f>
        <v>12.691546875</v>
      </c>
      <c r="F45" s="296"/>
      <c r="G45" s="52">
        <f t="shared" si="4"/>
        <v>0</v>
      </c>
      <c r="H45" s="297" t="s">
        <v>281</v>
      </c>
      <c r="I45" s="85">
        <v>0</v>
      </c>
      <c r="J45" s="66">
        <f>E46*I45</f>
        <v>0</v>
      </c>
      <c r="K45" s="85">
        <v>0</v>
      </c>
      <c r="L45" s="40">
        <f t="shared" si="6"/>
        <v>0</v>
      </c>
    </row>
    <row r="46" spans="1:12" s="134" customFormat="1" ht="17.25" customHeight="1" x14ac:dyDescent="0.25">
      <c r="A46" s="293">
        <f t="shared" si="5"/>
        <v>18</v>
      </c>
      <c r="B46" s="349">
        <f t="shared" si="5"/>
        <v>1841020</v>
      </c>
      <c r="C46" s="361" t="s">
        <v>288</v>
      </c>
      <c r="D46" s="351" t="s">
        <v>283</v>
      </c>
      <c r="E46" s="362">
        <f>E45</f>
        <v>12.691546875</v>
      </c>
      <c r="F46" s="363"/>
      <c r="G46" s="353">
        <f t="shared" si="4"/>
        <v>0</v>
      </c>
      <c r="H46" s="354" t="s">
        <v>281</v>
      </c>
      <c r="I46" s="85">
        <v>0</v>
      </c>
      <c r="J46" s="66">
        <f>E48*I46</f>
        <v>0</v>
      </c>
      <c r="K46" s="85">
        <v>0</v>
      </c>
      <c r="L46" s="40">
        <f t="shared" si="6"/>
        <v>0</v>
      </c>
    </row>
    <row r="47" spans="1:12" s="134" customFormat="1" ht="17.25" customHeight="1" x14ac:dyDescent="0.25">
      <c r="A47" s="293">
        <f t="shared" si="5"/>
        <v>19</v>
      </c>
      <c r="B47" s="114">
        <f t="shared" si="5"/>
        <v>1841021</v>
      </c>
      <c r="C47" s="300" t="s">
        <v>290</v>
      </c>
      <c r="D47" s="295" t="s">
        <v>103</v>
      </c>
      <c r="E47" s="299">
        <v>40</v>
      </c>
      <c r="F47" s="296"/>
      <c r="G47" s="52">
        <f t="shared" si="4"/>
        <v>0</v>
      </c>
      <c r="H47" s="297" t="s">
        <v>281</v>
      </c>
      <c r="I47" s="85">
        <v>0</v>
      </c>
      <c r="J47" s="66">
        <f>E52*I47</f>
        <v>0</v>
      </c>
      <c r="K47" s="85">
        <v>0</v>
      </c>
      <c r="L47" s="40">
        <f t="shared" si="6"/>
        <v>0</v>
      </c>
    </row>
    <row r="48" spans="1:12" s="134" customFormat="1" ht="17.25" customHeight="1" x14ac:dyDescent="0.25">
      <c r="A48" s="293">
        <f t="shared" si="5"/>
        <v>20</v>
      </c>
      <c r="B48" s="114">
        <f t="shared" si="5"/>
        <v>1841022</v>
      </c>
      <c r="C48" s="294" t="s">
        <v>289</v>
      </c>
      <c r="D48" s="295" t="s">
        <v>103</v>
      </c>
      <c r="E48" s="299">
        <v>40</v>
      </c>
      <c r="F48" s="296"/>
      <c r="G48" s="52">
        <f t="shared" si="4"/>
        <v>0</v>
      </c>
      <c r="H48" s="297" t="s">
        <v>281</v>
      </c>
      <c r="I48" s="85">
        <v>0</v>
      </c>
      <c r="J48" s="66">
        <f>E54*I48</f>
        <v>0</v>
      </c>
      <c r="K48" s="85">
        <v>0</v>
      </c>
      <c r="L48" s="40">
        <f>E50*K48</f>
        <v>0</v>
      </c>
    </row>
    <row r="49" spans="1:12" s="134" customFormat="1" ht="17.25" customHeight="1" x14ac:dyDescent="0.25">
      <c r="A49" s="293">
        <f>A48+1</f>
        <v>21</v>
      </c>
      <c r="B49" s="140">
        <v>184215411</v>
      </c>
      <c r="C49" s="140" t="s">
        <v>361</v>
      </c>
      <c r="D49" s="141" t="s">
        <v>168</v>
      </c>
      <c r="E49" s="366">
        <v>40</v>
      </c>
      <c r="F49" s="303"/>
      <c r="G49" s="52">
        <f t="shared" si="4"/>
        <v>0</v>
      </c>
      <c r="H49" s="83" t="s">
        <v>404</v>
      </c>
      <c r="I49" s="85">
        <v>0</v>
      </c>
      <c r="J49" s="66">
        <f>E55*I49</f>
        <v>0</v>
      </c>
      <c r="K49" s="85">
        <v>0</v>
      </c>
      <c r="L49" s="40">
        <f>E51*K49</f>
        <v>0</v>
      </c>
    </row>
    <row r="50" spans="1:12" s="134" customFormat="1" ht="17.25" customHeight="1" x14ac:dyDescent="0.25">
      <c r="A50" s="293">
        <f>A49+1</f>
        <v>22</v>
      </c>
      <c r="B50" s="47">
        <v>184215123</v>
      </c>
      <c r="C50" s="47" t="s">
        <v>362</v>
      </c>
      <c r="D50" s="110" t="s">
        <v>168</v>
      </c>
      <c r="E50" s="62">
        <v>40</v>
      </c>
      <c r="F50" s="114"/>
      <c r="G50" s="52">
        <f t="shared" si="4"/>
        <v>0</v>
      </c>
      <c r="H50" s="83" t="s">
        <v>404</v>
      </c>
      <c r="I50" s="85">
        <v>1E-3</v>
      </c>
      <c r="J50" s="66">
        <f>E50*I50</f>
        <v>0.04</v>
      </c>
      <c r="K50" s="85">
        <v>0</v>
      </c>
      <c r="L50" s="40">
        <f>E52*K50</f>
        <v>0</v>
      </c>
    </row>
    <row r="51" spans="1:12" s="134" customFormat="1" ht="17.25" customHeight="1" x14ac:dyDescent="0.25">
      <c r="A51" s="293">
        <f>A50+1</f>
        <v>23</v>
      </c>
      <c r="B51" s="349">
        <f>B48+1</f>
        <v>1841023</v>
      </c>
      <c r="C51" s="361" t="s">
        <v>363</v>
      </c>
      <c r="D51" s="351" t="s">
        <v>103</v>
      </c>
      <c r="E51" s="367">
        <f>E50*2</f>
        <v>80</v>
      </c>
      <c r="F51" s="363"/>
      <c r="G51" s="353">
        <f t="shared" si="4"/>
        <v>0</v>
      </c>
      <c r="H51" s="354" t="s">
        <v>281</v>
      </c>
      <c r="I51" s="85">
        <v>3.0000000000000001E-3</v>
      </c>
      <c r="J51" s="66">
        <f>E51*I51</f>
        <v>0.24</v>
      </c>
      <c r="K51" s="85">
        <v>0</v>
      </c>
      <c r="L51" s="40">
        <f>E52*K51</f>
        <v>0</v>
      </c>
    </row>
    <row r="52" spans="1:12" s="134" customFormat="1" ht="32.25" customHeight="1" x14ac:dyDescent="0.25">
      <c r="A52" s="293">
        <f>A51+1</f>
        <v>24</v>
      </c>
      <c r="B52" s="114">
        <f>B51+1</f>
        <v>1841024</v>
      </c>
      <c r="C52" s="302" t="s">
        <v>364</v>
      </c>
      <c r="D52" s="304" t="s">
        <v>103</v>
      </c>
      <c r="E52" s="305">
        <v>35</v>
      </c>
      <c r="F52" s="305"/>
      <c r="G52" s="52">
        <f t="shared" si="4"/>
        <v>0</v>
      </c>
      <c r="H52" s="297" t="s">
        <v>281</v>
      </c>
      <c r="I52" s="85">
        <v>0</v>
      </c>
      <c r="J52" s="66">
        <f>E55*I52</f>
        <v>0</v>
      </c>
      <c r="K52" s="85">
        <v>0</v>
      </c>
      <c r="L52" s="40">
        <f>E54*K52</f>
        <v>0</v>
      </c>
    </row>
    <row r="53" spans="1:12" s="134" customFormat="1" ht="32.25" customHeight="1" x14ac:dyDescent="0.25">
      <c r="A53" s="293">
        <f t="shared" ref="A53:A54" si="7">A52+1</f>
        <v>25</v>
      </c>
      <c r="B53" s="114">
        <f>B52+1</f>
        <v>1841025</v>
      </c>
      <c r="C53" s="302" t="s">
        <v>365</v>
      </c>
      <c r="D53" s="304" t="s">
        <v>103</v>
      </c>
      <c r="E53" s="305">
        <v>1</v>
      </c>
      <c r="F53" s="305"/>
      <c r="G53" s="52">
        <f t="shared" si="4"/>
        <v>0</v>
      </c>
      <c r="H53" s="297" t="s">
        <v>281</v>
      </c>
      <c r="I53" s="85">
        <v>0</v>
      </c>
      <c r="J53" s="66">
        <f>E56*I53</f>
        <v>0</v>
      </c>
      <c r="K53" s="85">
        <v>0</v>
      </c>
      <c r="L53" s="40">
        <f>E55*K53</f>
        <v>0</v>
      </c>
    </row>
    <row r="54" spans="1:12" s="134" customFormat="1" ht="32.25" customHeight="1" x14ac:dyDescent="0.25">
      <c r="A54" s="293">
        <f t="shared" si="7"/>
        <v>26</v>
      </c>
      <c r="B54" s="114">
        <f>B53+1</f>
        <v>1841026</v>
      </c>
      <c r="C54" s="302" t="s">
        <v>366</v>
      </c>
      <c r="D54" s="304" t="s">
        <v>103</v>
      </c>
      <c r="E54" s="305">
        <v>2</v>
      </c>
      <c r="F54" s="305"/>
      <c r="G54" s="52">
        <f t="shared" si="4"/>
        <v>0</v>
      </c>
      <c r="H54" s="297" t="s">
        <v>281</v>
      </c>
      <c r="I54" s="85">
        <v>0</v>
      </c>
      <c r="J54" s="66">
        <f>E55*I54</f>
        <v>0</v>
      </c>
      <c r="K54" s="85">
        <v>0</v>
      </c>
      <c r="L54" s="40">
        <f>E55*K54</f>
        <v>0</v>
      </c>
    </row>
    <row r="55" spans="1:12" s="134" customFormat="1" ht="17.25" customHeight="1" x14ac:dyDescent="0.25">
      <c r="A55" s="368"/>
      <c r="B55" s="369"/>
      <c r="C55" s="370"/>
      <c r="D55" s="371"/>
      <c r="E55" s="371"/>
      <c r="F55" s="372"/>
      <c r="G55" s="373"/>
      <c r="H55" s="374"/>
      <c r="I55" s="375"/>
      <c r="J55" s="376"/>
      <c r="K55" s="375"/>
      <c r="L55" s="41"/>
    </row>
    <row r="56" spans="1:12" ht="15.75" customHeight="1" x14ac:dyDescent="0.25">
      <c r="C56" s="292" t="s">
        <v>367</v>
      </c>
      <c r="D56" s="331"/>
      <c r="E56" s="331"/>
      <c r="F56" s="331"/>
      <c r="G56" s="330">
        <f>SUM(G57:G66)</f>
        <v>0</v>
      </c>
      <c r="J56" s="67">
        <f>SUM(J57:J65)</f>
        <v>16.018440000000002</v>
      </c>
      <c r="K56" s="35"/>
      <c r="L56" s="67">
        <f>SUM(L59:L62)</f>
        <v>0</v>
      </c>
    </row>
    <row r="57" spans="1:12" ht="39.75" customHeight="1" x14ac:dyDescent="0.25">
      <c r="A57" s="293">
        <f>A54+1</f>
        <v>27</v>
      </c>
      <c r="B57" s="47">
        <v>181411131</v>
      </c>
      <c r="C57" s="47" t="s">
        <v>368</v>
      </c>
      <c r="D57" s="110" t="s">
        <v>23</v>
      </c>
      <c r="E57" s="209">
        <f>106+102+140</f>
        <v>348</v>
      </c>
      <c r="F57" s="114"/>
      <c r="G57" s="52">
        <f t="shared" ref="G57:G66" si="8">E57*F57</f>
        <v>0</v>
      </c>
      <c r="H57" s="83" t="s">
        <v>404</v>
      </c>
      <c r="I57" s="85">
        <v>1E-3</v>
      </c>
      <c r="J57" s="66">
        <f>E57*I57</f>
        <v>0.34800000000000003</v>
      </c>
      <c r="K57" s="85">
        <v>0</v>
      </c>
      <c r="L57" s="40">
        <f>E58*K57</f>
        <v>0</v>
      </c>
    </row>
    <row r="58" spans="1:12" ht="20.25" customHeight="1" x14ac:dyDescent="0.25">
      <c r="A58" s="293">
        <f t="shared" ref="A58:A66" si="9">A57+1</f>
        <v>28</v>
      </c>
      <c r="B58" s="433" t="s">
        <v>409</v>
      </c>
      <c r="C58" s="361" t="s">
        <v>369</v>
      </c>
      <c r="D58" s="351" t="s">
        <v>283</v>
      </c>
      <c r="E58" s="362">
        <f>0.03*E57</f>
        <v>10.44</v>
      </c>
      <c r="F58" s="363"/>
      <c r="G58" s="353">
        <f t="shared" si="8"/>
        <v>0</v>
      </c>
      <c r="H58" s="83" t="s">
        <v>404</v>
      </c>
      <c r="I58" s="85">
        <v>1E-3</v>
      </c>
      <c r="J58" s="66">
        <f>E58*I58</f>
        <v>1.044E-2</v>
      </c>
      <c r="K58" s="85">
        <v>0</v>
      </c>
      <c r="L58" s="40">
        <f>E59*K58</f>
        <v>0</v>
      </c>
    </row>
    <row r="59" spans="1:12" s="134" customFormat="1" ht="29.25" customHeight="1" x14ac:dyDescent="0.25">
      <c r="A59" s="293">
        <f t="shared" si="9"/>
        <v>29</v>
      </c>
      <c r="B59" s="140">
        <v>181151311</v>
      </c>
      <c r="C59" s="140" t="s">
        <v>370</v>
      </c>
      <c r="D59" s="141" t="s">
        <v>19</v>
      </c>
      <c r="E59" s="377">
        <f>E57</f>
        <v>348</v>
      </c>
      <c r="F59" s="303"/>
      <c r="G59" s="52">
        <f t="shared" si="8"/>
        <v>0</v>
      </c>
      <c r="H59" s="83" t="s">
        <v>404</v>
      </c>
      <c r="I59" s="85">
        <v>0</v>
      </c>
      <c r="J59" s="66">
        <f>E60*I59</f>
        <v>0</v>
      </c>
      <c r="K59" s="85">
        <v>0</v>
      </c>
    </row>
    <row r="60" spans="1:12" s="134" customFormat="1" ht="29.25" customHeight="1" x14ac:dyDescent="0.25">
      <c r="A60" s="293">
        <f t="shared" si="9"/>
        <v>30</v>
      </c>
      <c r="B60" s="140">
        <v>182303111</v>
      </c>
      <c r="C60" s="140" t="s">
        <v>371</v>
      </c>
      <c r="D60" s="141" t="s">
        <v>19</v>
      </c>
      <c r="E60" s="377">
        <f>E57</f>
        <v>348</v>
      </c>
      <c r="F60" s="303"/>
      <c r="G60" s="52">
        <f t="shared" si="8"/>
        <v>0</v>
      </c>
      <c r="H60" s="83" t="s">
        <v>404</v>
      </c>
      <c r="I60" s="85">
        <v>0</v>
      </c>
      <c r="J60" s="66">
        <f>E8*I60</f>
        <v>0</v>
      </c>
      <c r="K60" s="85">
        <v>0</v>
      </c>
    </row>
    <row r="61" spans="1:12" x14ac:dyDescent="0.25">
      <c r="A61" s="293">
        <f t="shared" si="9"/>
        <v>31</v>
      </c>
      <c r="B61" s="349">
        <v>181010</v>
      </c>
      <c r="C61" s="361" t="s">
        <v>372</v>
      </c>
      <c r="D61" s="351" t="s">
        <v>31</v>
      </c>
      <c r="E61" s="362">
        <f>106*0.05</f>
        <v>5.3000000000000007</v>
      </c>
      <c r="F61" s="363"/>
      <c r="G61" s="353">
        <f t="shared" si="8"/>
        <v>0</v>
      </c>
      <c r="H61" s="354" t="s">
        <v>281</v>
      </c>
      <c r="I61" s="85">
        <v>0.45</v>
      </c>
      <c r="J61" s="66">
        <f>E61*I61</f>
        <v>2.3850000000000002</v>
      </c>
      <c r="K61" s="85">
        <v>0</v>
      </c>
      <c r="L61" s="40">
        <f>E61*K61</f>
        <v>0</v>
      </c>
    </row>
    <row r="62" spans="1:12" x14ac:dyDescent="0.25">
      <c r="A62" s="293">
        <f t="shared" si="9"/>
        <v>32</v>
      </c>
      <c r="B62" s="349">
        <f>B61+1</f>
        <v>181011</v>
      </c>
      <c r="C62" s="361" t="s">
        <v>373</v>
      </c>
      <c r="D62" s="351" t="s">
        <v>31</v>
      </c>
      <c r="E62" s="362">
        <f>(102+140)*0.05</f>
        <v>12.100000000000001</v>
      </c>
      <c r="F62" s="363"/>
      <c r="G62" s="353">
        <f t="shared" si="8"/>
        <v>0</v>
      </c>
      <c r="H62" s="354" t="s">
        <v>281</v>
      </c>
      <c r="I62" s="85">
        <v>0.45</v>
      </c>
      <c r="J62" s="66">
        <f>E62*I62</f>
        <v>5.4450000000000012</v>
      </c>
      <c r="K62" s="85">
        <v>0</v>
      </c>
      <c r="L62" s="40">
        <f>E62*K62</f>
        <v>0</v>
      </c>
    </row>
    <row r="63" spans="1:12" x14ac:dyDescent="0.25">
      <c r="A63" s="293">
        <f t="shared" si="9"/>
        <v>33</v>
      </c>
      <c r="B63" s="47">
        <v>185804312</v>
      </c>
      <c r="C63" s="47" t="s">
        <v>374</v>
      </c>
      <c r="D63" s="110" t="s">
        <v>17</v>
      </c>
      <c r="E63" s="378">
        <f>E60*0.2</f>
        <v>69.600000000000009</v>
      </c>
      <c r="F63" s="114"/>
      <c r="G63" s="52">
        <f t="shared" si="8"/>
        <v>0</v>
      </c>
      <c r="H63" s="83" t="s">
        <v>404</v>
      </c>
      <c r="I63" s="85">
        <v>0</v>
      </c>
      <c r="J63" s="66">
        <f>E12*I63</f>
        <v>0</v>
      </c>
      <c r="K63" s="85">
        <v>0</v>
      </c>
      <c r="L63" s="134"/>
    </row>
    <row r="64" spans="1:12" x14ac:dyDescent="0.25">
      <c r="A64" s="293">
        <f t="shared" si="9"/>
        <v>34</v>
      </c>
      <c r="B64" s="114">
        <f>B62+1</f>
        <v>181012</v>
      </c>
      <c r="C64" s="379" t="s">
        <v>375</v>
      </c>
      <c r="D64" s="380" t="s">
        <v>283</v>
      </c>
      <c r="E64" s="381">
        <f>0.5*(E62+E61)</f>
        <v>8.7000000000000011</v>
      </c>
      <c r="F64" s="296"/>
      <c r="G64" s="52">
        <f t="shared" si="8"/>
        <v>0</v>
      </c>
      <c r="H64" s="297" t="s">
        <v>281</v>
      </c>
      <c r="I64" s="85">
        <v>0.45</v>
      </c>
      <c r="J64" s="66">
        <f>E64*I64</f>
        <v>3.9150000000000005</v>
      </c>
      <c r="K64" s="85">
        <v>0</v>
      </c>
      <c r="L64" s="40">
        <f>E64*K64</f>
        <v>0</v>
      </c>
    </row>
    <row r="65" spans="1:12" ht="15" customHeight="1" x14ac:dyDescent="0.25">
      <c r="A65" s="293">
        <f t="shared" si="9"/>
        <v>35</v>
      </c>
      <c r="B65" s="349">
        <f>B64+1</f>
        <v>181013</v>
      </c>
      <c r="C65" s="382" t="s">
        <v>284</v>
      </c>
      <c r="D65" s="383" t="s">
        <v>283</v>
      </c>
      <c r="E65" s="384">
        <f>E64</f>
        <v>8.7000000000000011</v>
      </c>
      <c r="F65" s="363"/>
      <c r="G65" s="353">
        <f t="shared" si="8"/>
        <v>0</v>
      </c>
      <c r="H65" s="354" t="s">
        <v>281</v>
      </c>
      <c r="I65" s="85">
        <v>0.45</v>
      </c>
      <c r="J65" s="66">
        <f>E65*I65</f>
        <v>3.9150000000000005</v>
      </c>
      <c r="K65" s="85">
        <v>0</v>
      </c>
      <c r="L65" s="40">
        <f>E65*K65</f>
        <v>0</v>
      </c>
    </row>
    <row r="66" spans="1:12" ht="17.25" customHeight="1" x14ac:dyDescent="0.25">
      <c r="A66" s="293">
        <f t="shared" si="9"/>
        <v>36</v>
      </c>
      <c r="B66" s="434">
        <v>998231311</v>
      </c>
      <c r="C66" s="435" t="s">
        <v>410</v>
      </c>
      <c r="D66" s="304" t="s">
        <v>21</v>
      </c>
      <c r="E66" s="436">
        <f>J56+J27+J10+J6</f>
        <v>78.849804062500013</v>
      </c>
      <c r="F66" s="437"/>
      <c r="G66" s="52">
        <f t="shared" si="8"/>
        <v>0</v>
      </c>
      <c r="H66" s="83" t="s">
        <v>404</v>
      </c>
      <c r="I66" s="85">
        <v>0</v>
      </c>
      <c r="J66" s="66">
        <f t="shared" ref="J66" si="10">E66*I66</f>
        <v>0</v>
      </c>
      <c r="K66" s="85">
        <v>0</v>
      </c>
      <c r="L66" s="40"/>
    </row>
    <row r="67" spans="1:12" ht="24" customHeight="1" x14ac:dyDescent="0.25">
      <c r="C67" s="385"/>
      <c r="D67" s="385"/>
      <c r="E67" s="385"/>
    </row>
    <row r="68" spans="1:12" ht="19.5" customHeight="1" x14ac:dyDescent="0.25">
      <c r="C68" s="386" t="s">
        <v>376</v>
      </c>
      <c r="D68" s="160"/>
      <c r="E68" s="160"/>
      <c r="F68" s="160"/>
      <c r="G68" s="160"/>
    </row>
    <row r="69" spans="1:12" ht="19.5" customHeight="1" x14ac:dyDescent="0.25">
      <c r="C69" s="160" t="s">
        <v>325</v>
      </c>
      <c r="D69" s="160"/>
      <c r="E69" s="160"/>
      <c r="F69" s="160"/>
      <c r="G69" s="387">
        <f>G6</f>
        <v>0</v>
      </c>
    </row>
    <row r="70" spans="1:12" ht="19.5" customHeight="1" x14ac:dyDescent="0.25">
      <c r="C70" s="160" t="s">
        <v>326</v>
      </c>
      <c r="D70" s="160"/>
      <c r="E70" s="160"/>
      <c r="F70" s="160"/>
      <c r="G70" s="387">
        <f>G10</f>
        <v>0</v>
      </c>
    </row>
    <row r="71" spans="1:12" ht="19.5" customHeight="1" x14ac:dyDescent="0.25">
      <c r="C71" s="160" t="s">
        <v>346</v>
      </c>
      <c r="D71" s="160"/>
      <c r="E71" s="160"/>
      <c r="F71" s="160"/>
      <c r="G71" s="387">
        <f>G27</f>
        <v>0</v>
      </c>
    </row>
    <row r="72" spans="1:12" ht="19.5" customHeight="1" x14ac:dyDescent="0.25">
      <c r="C72" s="164" t="s">
        <v>367</v>
      </c>
      <c r="D72" s="164"/>
      <c r="E72" s="164"/>
      <c r="F72" s="164"/>
      <c r="G72" s="388">
        <f>G56</f>
        <v>0</v>
      </c>
    </row>
    <row r="73" spans="1:12" ht="19.5" customHeight="1" x14ac:dyDescent="0.25">
      <c r="C73" s="386" t="s">
        <v>377</v>
      </c>
      <c r="G73" s="389">
        <f>SUM(G69:G72)</f>
        <v>0</v>
      </c>
    </row>
  </sheetData>
  <pageMargins left="0.62992125984251968" right="0.47244094488188981" top="0.36" bottom="0.64" header="0.31496062992125984" footer="0.31496062992125984"/>
  <pageSetup paperSize="9" orientation="landscape" horizontalDpi="300" verticalDpi="300" r:id="rId1"/>
  <headerFooter>
    <oddFooter>&amp;C&amp;"-,Tučná kurzíva"&amp;10&amp;P&amp;R&amp;"Arial,Kurzíva"&amp;10uchazeč  ..................................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62E81-6427-42CA-B2AA-FFC7A5916FEE}">
  <sheetPr codeName="List2">
    <tabColor theme="9" tint="-0.249977111117893"/>
  </sheetPr>
  <dimension ref="A1:CZ138"/>
  <sheetViews>
    <sheetView topLeftCell="A75" workbookViewId="0">
      <selection activeCell="C80" sqref="C80"/>
    </sheetView>
  </sheetViews>
  <sheetFormatPr defaultRowHeight="12.75" x14ac:dyDescent="0.2"/>
  <cols>
    <col min="1" max="1" width="4.28515625" style="229" customWidth="1"/>
    <col min="2" max="2" width="13.140625" style="229" customWidth="1"/>
    <col min="3" max="3" width="40.42578125" style="229" customWidth="1"/>
    <col min="4" max="4" width="5.5703125" style="229" customWidth="1"/>
    <col min="5" max="5" width="8.5703125" style="277" customWidth="1"/>
    <col min="6" max="6" width="9.85546875" style="277" customWidth="1"/>
    <col min="7" max="7" width="15.7109375" style="229" customWidth="1"/>
    <col min="8" max="256" width="9.140625" style="229"/>
    <col min="257" max="257" width="3.85546875" style="229" customWidth="1"/>
    <col min="258" max="258" width="12" style="229" customWidth="1"/>
    <col min="259" max="259" width="40.42578125" style="229" customWidth="1"/>
    <col min="260" max="260" width="5.5703125" style="229" customWidth="1"/>
    <col min="261" max="261" width="8.5703125" style="229" customWidth="1"/>
    <col min="262" max="262" width="9.85546875" style="229" customWidth="1"/>
    <col min="263" max="263" width="13.85546875" style="229" customWidth="1"/>
    <col min="264" max="512" width="9.140625" style="229"/>
    <col min="513" max="513" width="3.85546875" style="229" customWidth="1"/>
    <col min="514" max="514" width="12" style="229" customWidth="1"/>
    <col min="515" max="515" width="40.42578125" style="229" customWidth="1"/>
    <col min="516" max="516" width="5.5703125" style="229" customWidth="1"/>
    <col min="517" max="517" width="8.5703125" style="229" customWidth="1"/>
    <col min="518" max="518" width="9.85546875" style="229" customWidth="1"/>
    <col min="519" max="519" width="13.85546875" style="229" customWidth="1"/>
    <col min="520" max="768" width="9.140625" style="229"/>
    <col min="769" max="769" width="3.85546875" style="229" customWidth="1"/>
    <col min="770" max="770" width="12" style="229" customWidth="1"/>
    <col min="771" max="771" width="40.42578125" style="229" customWidth="1"/>
    <col min="772" max="772" width="5.5703125" style="229" customWidth="1"/>
    <col min="773" max="773" width="8.5703125" style="229" customWidth="1"/>
    <col min="774" max="774" width="9.85546875" style="229" customWidth="1"/>
    <col min="775" max="775" width="13.85546875" style="229" customWidth="1"/>
    <col min="776" max="1024" width="9.140625" style="229"/>
    <col min="1025" max="1025" width="3.85546875" style="229" customWidth="1"/>
    <col min="1026" max="1026" width="12" style="229" customWidth="1"/>
    <col min="1027" max="1027" width="40.42578125" style="229" customWidth="1"/>
    <col min="1028" max="1028" width="5.5703125" style="229" customWidth="1"/>
    <col min="1029" max="1029" width="8.5703125" style="229" customWidth="1"/>
    <col min="1030" max="1030" width="9.85546875" style="229" customWidth="1"/>
    <col min="1031" max="1031" width="13.85546875" style="229" customWidth="1"/>
    <col min="1032" max="1280" width="9.140625" style="229"/>
    <col min="1281" max="1281" width="3.85546875" style="229" customWidth="1"/>
    <col min="1282" max="1282" width="12" style="229" customWidth="1"/>
    <col min="1283" max="1283" width="40.42578125" style="229" customWidth="1"/>
    <col min="1284" max="1284" width="5.5703125" style="229" customWidth="1"/>
    <col min="1285" max="1285" width="8.5703125" style="229" customWidth="1"/>
    <col min="1286" max="1286" width="9.85546875" style="229" customWidth="1"/>
    <col min="1287" max="1287" width="13.85546875" style="229" customWidth="1"/>
    <col min="1288" max="1536" width="9.140625" style="229"/>
    <col min="1537" max="1537" width="3.85546875" style="229" customWidth="1"/>
    <col min="1538" max="1538" width="12" style="229" customWidth="1"/>
    <col min="1539" max="1539" width="40.42578125" style="229" customWidth="1"/>
    <col min="1540" max="1540" width="5.5703125" style="229" customWidth="1"/>
    <col min="1541" max="1541" width="8.5703125" style="229" customWidth="1"/>
    <col min="1542" max="1542" width="9.85546875" style="229" customWidth="1"/>
    <col min="1543" max="1543" width="13.85546875" style="229" customWidth="1"/>
    <col min="1544" max="1792" width="9.140625" style="229"/>
    <col min="1793" max="1793" width="3.85546875" style="229" customWidth="1"/>
    <col min="1794" max="1794" width="12" style="229" customWidth="1"/>
    <col min="1795" max="1795" width="40.42578125" style="229" customWidth="1"/>
    <col min="1796" max="1796" width="5.5703125" style="229" customWidth="1"/>
    <col min="1797" max="1797" width="8.5703125" style="229" customWidth="1"/>
    <col min="1798" max="1798" width="9.85546875" style="229" customWidth="1"/>
    <col min="1799" max="1799" width="13.85546875" style="229" customWidth="1"/>
    <col min="1800" max="2048" width="9.140625" style="229"/>
    <col min="2049" max="2049" width="3.85546875" style="229" customWidth="1"/>
    <col min="2050" max="2050" width="12" style="229" customWidth="1"/>
    <col min="2051" max="2051" width="40.42578125" style="229" customWidth="1"/>
    <col min="2052" max="2052" width="5.5703125" style="229" customWidth="1"/>
    <col min="2053" max="2053" width="8.5703125" style="229" customWidth="1"/>
    <col min="2054" max="2054" width="9.85546875" style="229" customWidth="1"/>
    <col min="2055" max="2055" width="13.85546875" style="229" customWidth="1"/>
    <col min="2056" max="2304" width="9.140625" style="229"/>
    <col min="2305" max="2305" width="3.85546875" style="229" customWidth="1"/>
    <col min="2306" max="2306" width="12" style="229" customWidth="1"/>
    <col min="2307" max="2307" width="40.42578125" style="229" customWidth="1"/>
    <col min="2308" max="2308" width="5.5703125" style="229" customWidth="1"/>
    <col min="2309" max="2309" width="8.5703125" style="229" customWidth="1"/>
    <col min="2310" max="2310" width="9.85546875" style="229" customWidth="1"/>
    <col min="2311" max="2311" width="13.85546875" style="229" customWidth="1"/>
    <col min="2312" max="2560" width="9.140625" style="229"/>
    <col min="2561" max="2561" width="3.85546875" style="229" customWidth="1"/>
    <col min="2562" max="2562" width="12" style="229" customWidth="1"/>
    <col min="2563" max="2563" width="40.42578125" style="229" customWidth="1"/>
    <col min="2564" max="2564" width="5.5703125" style="229" customWidth="1"/>
    <col min="2565" max="2565" width="8.5703125" style="229" customWidth="1"/>
    <col min="2566" max="2566" width="9.85546875" style="229" customWidth="1"/>
    <col min="2567" max="2567" width="13.85546875" style="229" customWidth="1"/>
    <col min="2568" max="2816" width="9.140625" style="229"/>
    <col min="2817" max="2817" width="3.85546875" style="229" customWidth="1"/>
    <col min="2818" max="2818" width="12" style="229" customWidth="1"/>
    <col min="2819" max="2819" width="40.42578125" style="229" customWidth="1"/>
    <col min="2820" max="2820" width="5.5703125" style="229" customWidth="1"/>
    <col min="2821" max="2821" width="8.5703125" style="229" customWidth="1"/>
    <col min="2822" max="2822" width="9.85546875" style="229" customWidth="1"/>
    <col min="2823" max="2823" width="13.85546875" style="229" customWidth="1"/>
    <col min="2824" max="3072" width="9.140625" style="229"/>
    <col min="3073" max="3073" width="3.85546875" style="229" customWidth="1"/>
    <col min="3074" max="3074" width="12" style="229" customWidth="1"/>
    <col min="3075" max="3075" width="40.42578125" style="229" customWidth="1"/>
    <col min="3076" max="3076" width="5.5703125" style="229" customWidth="1"/>
    <col min="3077" max="3077" width="8.5703125" style="229" customWidth="1"/>
    <col min="3078" max="3078" width="9.85546875" style="229" customWidth="1"/>
    <col min="3079" max="3079" width="13.85546875" style="229" customWidth="1"/>
    <col min="3080" max="3328" width="9.140625" style="229"/>
    <col min="3329" max="3329" width="3.85546875" style="229" customWidth="1"/>
    <col min="3330" max="3330" width="12" style="229" customWidth="1"/>
    <col min="3331" max="3331" width="40.42578125" style="229" customWidth="1"/>
    <col min="3332" max="3332" width="5.5703125" style="229" customWidth="1"/>
    <col min="3333" max="3333" width="8.5703125" style="229" customWidth="1"/>
    <col min="3334" max="3334" width="9.85546875" style="229" customWidth="1"/>
    <col min="3335" max="3335" width="13.85546875" style="229" customWidth="1"/>
    <col min="3336" max="3584" width="9.140625" style="229"/>
    <col min="3585" max="3585" width="3.85546875" style="229" customWidth="1"/>
    <col min="3586" max="3586" width="12" style="229" customWidth="1"/>
    <col min="3587" max="3587" width="40.42578125" style="229" customWidth="1"/>
    <col min="3588" max="3588" width="5.5703125" style="229" customWidth="1"/>
    <col min="3589" max="3589" width="8.5703125" style="229" customWidth="1"/>
    <col min="3590" max="3590" width="9.85546875" style="229" customWidth="1"/>
    <col min="3591" max="3591" width="13.85546875" style="229" customWidth="1"/>
    <col min="3592" max="3840" width="9.140625" style="229"/>
    <col min="3841" max="3841" width="3.85546875" style="229" customWidth="1"/>
    <col min="3842" max="3842" width="12" style="229" customWidth="1"/>
    <col min="3843" max="3843" width="40.42578125" style="229" customWidth="1"/>
    <col min="3844" max="3844" width="5.5703125" style="229" customWidth="1"/>
    <col min="3845" max="3845" width="8.5703125" style="229" customWidth="1"/>
    <col min="3846" max="3846" width="9.85546875" style="229" customWidth="1"/>
    <col min="3847" max="3847" width="13.85546875" style="229" customWidth="1"/>
    <col min="3848" max="4096" width="9.140625" style="229"/>
    <col min="4097" max="4097" width="3.85546875" style="229" customWidth="1"/>
    <col min="4098" max="4098" width="12" style="229" customWidth="1"/>
    <col min="4099" max="4099" width="40.42578125" style="229" customWidth="1"/>
    <col min="4100" max="4100" width="5.5703125" style="229" customWidth="1"/>
    <col min="4101" max="4101" width="8.5703125" style="229" customWidth="1"/>
    <col min="4102" max="4102" width="9.85546875" style="229" customWidth="1"/>
    <col min="4103" max="4103" width="13.85546875" style="229" customWidth="1"/>
    <col min="4104" max="4352" width="9.140625" style="229"/>
    <col min="4353" max="4353" width="3.85546875" style="229" customWidth="1"/>
    <col min="4354" max="4354" width="12" style="229" customWidth="1"/>
    <col min="4355" max="4355" width="40.42578125" style="229" customWidth="1"/>
    <col min="4356" max="4356" width="5.5703125" style="229" customWidth="1"/>
    <col min="4357" max="4357" width="8.5703125" style="229" customWidth="1"/>
    <col min="4358" max="4358" width="9.85546875" style="229" customWidth="1"/>
    <col min="4359" max="4359" width="13.85546875" style="229" customWidth="1"/>
    <col min="4360" max="4608" width="9.140625" style="229"/>
    <col min="4609" max="4609" width="3.85546875" style="229" customWidth="1"/>
    <col min="4610" max="4610" width="12" style="229" customWidth="1"/>
    <col min="4611" max="4611" width="40.42578125" style="229" customWidth="1"/>
    <col min="4612" max="4612" width="5.5703125" style="229" customWidth="1"/>
    <col min="4613" max="4613" width="8.5703125" style="229" customWidth="1"/>
    <col min="4614" max="4614" width="9.85546875" style="229" customWidth="1"/>
    <col min="4615" max="4615" width="13.85546875" style="229" customWidth="1"/>
    <col min="4616" max="4864" width="9.140625" style="229"/>
    <col min="4865" max="4865" width="3.85546875" style="229" customWidth="1"/>
    <col min="4866" max="4866" width="12" style="229" customWidth="1"/>
    <col min="4867" max="4867" width="40.42578125" style="229" customWidth="1"/>
    <col min="4868" max="4868" width="5.5703125" style="229" customWidth="1"/>
    <col min="4869" max="4869" width="8.5703125" style="229" customWidth="1"/>
    <col min="4870" max="4870" width="9.85546875" style="229" customWidth="1"/>
    <col min="4871" max="4871" width="13.85546875" style="229" customWidth="1"/>
    <col min="4872" max="5120" width="9.140625" style="229"/>
    <col min="5121" max="5121" width="3.85546875" style="229" customWidth="1"/>
    <col min="5122" max="5122" width="12" style="229" customWidth="1"/>
    <col min="5123" max="5123" width="40.42578125" style="229" customWidth="1"/>
    <col min="5124" max="5124" width="5.5703125" style="229" customWidth="1"/>
    <col min="5125" max="5125" width="8.5703125" style="229" customWidth="1"/>
    <col min="5126" max="5126" width="9.85546875" style="229" customWidth="1"/>
    <col min="5127" max="5127" width="13.85546875" style="229" customWidth="1"/>
    <col min="5128" max="5376" width="9.140625" style="229"/>
    <col min="5377" max="5377" width="3.85546875" style="229" customWidth="1"/>
    <col min="5378" max="5378" width="12" style="229" customWidth="1"/>
    <col min="5379" max="5379" width="40.42578125" style="229" customWidth="1"/>
    <col min="5380" max="5380" width="5.5703125" style="229" customWidth="1"/>
    <col min="5381" max="5381" width="8.5703125" style="229" customWidth="1"/>
    <col min="5382" max="5382" width="9.85546875" style="229" customWidth="1"/>
    <col min="5383" max="5383" width="13.85546875" style="229" customWidth="1"/>
    <col min="5384" max="5632" width="9.140625" style="229"/>
    <col min="5633" max="5633" width="3.85546875" style="229" customWidth="1"/>
    <col min="5634" max="5634" width="12" style="229" customWidth="1"/>
    <col min="5635" max="5635" width="40.42578125" style="229" customWidth="1"/>
    <col min="5636" max="5636" width="5.5703125" style="229" customWidth="1"/>
    <col min="5637" max="5637" width="8.5703125" style="229" customWidth="1"/>
    <col min="5638" max="5638" width="9.85546875" style="229" customWidth="1"/>
    <col min="5639" max="5639" width="13.85546875" style="229" customWidth="1"/>
    <col min="5640" max="5888" width="9.140625" style="229"/>
    <col min="5889" max="5889" width="3.85546875" style="229" customWidth="1"/>
    <col min="5890" max="5890" width="12" style="229" customWidth="1"/>
    <col min="5891" max="5891" width="40.42578125" style="229" customWidth="1"/>
    <col min="5892" max="5892" width="5.5703125" style="229" customWidth="1"/>
    <col min="5893" max="5893" width="8.5703125" style="229" customWidth="1"/>
    <col min="5894" max="5894" width="9.85546875" style="229" customWidth="1"/>
    <col min="5895" max="5895" width="13.85546875" style="229" customWidth="1"/>
    <col min="5896" max="6144" width="9.140625" style="229"/>
    <col min="6145" max="6145" width="3.85546875" style="229" customWidth="1"/>
    <col min="6146" max="6146" width="12" style="229" customWidth="1"/>
    <col min="6147" max="6147" width="40.42578125" style="229" customWidth="1"/>
    <col min="6148" max="6148" width="5.5703125" style="229" customWidth="1"/>
    <col min="6149" max="6149" width="8.5703125" style="229" customWidth="1"/>
    <col min="6150" max="6150" width="9.85546875" style="229" customWidth="1"/>
    <col min="6151" max="6151" width="13.85546875" style="229" customWidth="1"/>
    <col min="6152" max="6400" width="9.140625" style="229"/>
    <col min="6401" max="6401" width="3.85546875" style="229" customWidth="1"/>
    <col min="6402" max="6402" width="12" style="229" customWidth="1"/>
    <col min="6403" max="6403" width="40.42578125" style="229" customWidth="1"/>
    <col min="6404" max="6404" width="5.5703125" style="229" customWidth="1"/>
    <col min="6405" max="6405" width="8.5703125" style="229" customWidth="1"/>
    <col min="6406" max="6406" width="9.85546875" style="229" customWidth="1"/>
    <col min="6407" max="6407" width="13.85546875" style="229" customWidth="1"/>
    <col min="6408" max="6656" width="9.140625" style="229"/>
    <col min="6657" max="6657" width="3.85546875" style="229" customWidth="1"/>
    <col min="6658" max="6658" width="12" style="229" customWidth="1"/>
    <col min="6659" max="6659" width="40.42578125" style="229" customWidth="1"/>
    <col min="6660" max="6660" width="5.5703125" style="229" customWidth="1"/>
    <col min="6661" max="6661" width="8.5703125" style="229" customWidth="1"/>
    <col min="6662" max="6662" width="9.85546875" style="229" customWidth="1"/>
    <col min="6663" max="6663" width="13.85546875" style="229" customWidth="1"/>
    <col min="6664" max="6912" width="9.140625" style="229"/>
    <col min="6913" max="6913" width="3.85546875" style="229" customWidth="1"/>
    <col min="6914" max="6914" width="12" style="229" customWidth="1"/>
    <col min="6915" max="6915" width="40.42578125" style="229" customWidth="1"/>
    <col min="6916" max="6916" width="5.5703125" style="229" customWidth="1"/>
    <col min="6917" max="6917" width="8.5703125" style="229" customWidth="1"/>
    <col min="6918" max="6918" width="9.85546875" style="229" customWidth="1"/>
    <col min="6919" max="6919" width="13.85546875" style="229" customWidth="1"/>
    <col min="6920" max="7168" width="9.140625" style="229"/>
    <col min="7169" max="7169" width="3.85546875" style="229" customWidth="1"/>
    <col min="7170" max="7170" width="12" style="229" customWidth="1"/>
    <col min="7171" max="7171" width="40.42578125" style="229" customWidth="1"/>
    <col min="7172" max="7172" width="5.5703125" style="229" customWidth="1"/>
    <col min="7173" max="7173" width="8.5703125" style="229" customWidth="1"/>
    <col min="7174" max="7174" width="9.85546875" style="229" customWidth="1"/>
    <col min="7175" max="7175" width="13.85546875" style="229" customWidth="1"/>
    <col min="7176" max="7424" width="9.140625" style="229"/>
    <col min="7425" max="7425" width="3.85546875" style="229" customWidth="1"/>
    <col min="7426" max="7426" width="12" style="229" customWidth="1"/>
    <col min="7427" max="7427" width="40.42578125" style="229" customWidth="1"/>
    <col min="7428" max="7428" width="5.5703125" style="229" customWidth="1"/>
    <col min="7429" max="7429" width="8.5703125" style="229" customWidth="1"/>
    <col min="7430" max="7430" width="9.85546875" style="229" customWidth="1"/>
    <col min="7431" max="7431" width="13.85546875" style="229" customWidth="1"/>
    <col min="7432" max="7680" width="9.140625" style="229"/>
    <col min="7681" max="7681" width="3.85546875" style="229" customWidth="1"/>
    <col min="7682" max="7682" width="12" style="229" customWidth="1"/>
    <col min="7683" max="7683" width="40.42578125" style="229" customWidth="1"/>
    <col min="7684" max="7684" width="5.5703125" style="229" customWidth="1"/>
    <col min="7685" max="7685" width="8.5703125" style="229" customWidth="1"/>
    <col min="7686" max="7686" width="9.85546875" style="229" customWidth="1"/>
    <col min="7687" max="7687" width="13.85546875" style="229" customWidth="1"/>
    <col min="7688" max="7936" width="9.140625" style="229"/>
    <col min="7937" max="7937" width="3.85546875" style="229" customWidth="1"/>
    <col min="7938" max="7938" width="12" style="229" customWidth="1"/>
    <col min="7939" max="7939" width="40.42578125" style="229" customWidth="1"/>
    <col min="7940" max="7940" width="5.5703125" style="229" customWidth="1"/>
    <col min="7941" max="7941" width="8.5703125" style="229" customWidth="1"/>
    <col min="7942" max="7942" width="9.85546875" style="229" customWidth="1"/>
    <col min="7943" max="7943" width="13.85546875" style="229" customWidth="1"/>
    <col min="7944" max="8192" width="9.140625" style="229"/>
    <col min="8193" max="8193" width="3.85546875" style="229" customWidth="1"/>
    <col min="8194" max="8194" width="12" style="229" customWidth="1"/>
    <col min="8195" max="8195" width="40.42578125" style="229" customWidth="1"/>
    <col min="8196" max="8196" width="5.5703125" style="229" customWidth="1"/>
    <col min="8197" max="8197" width="8.5703125" style="229" customWidth="1"/>
    <col min="8198" max="8198" width="9.85546875" style="229" customWidth="1"/>
    <col min="8199" max="8199" width="13.85546875" style="229" customWidth="1"/>
    <col min="8200" max="8448" width="9.140625" style="229"/>
    <col min="8449" max="8449" width="3.85546875" style="229" customWidth="1"/>
    <col min="8450" max="8450" width="12" style="229" customWidth="1"/>
    <col min="8451" max="8451" width="40.42578125" style="229" customWidth="1"/>
    <col min="8452" max="8452" width="5.5703125" style="229" customWidth="1"/>
    <col min="8453" max="8453" width="8.5703125" style="229" customWidth="1"/>
    <col min="8454" max="8454" width="9.85546875" style="229" customWidth="1"/>
    <col min="8455" max="8455" width="13.85546875" style="229" customWidth="1"/>
    <col min="8456" max="8704" width="9.140625" style="229"/>
    <col min="8705" max="8705" width="3.85546875" style="229" customWidth="1"/>
    <col min="8706" max="8706" width="12" style="229" customWidth="1"/>
    <col min="8707" max="8707" width="40.42578125" style="229" customWidth="1"/>
    <col min="8708" max="8708" width="5.5703125" style="229" customWidth="1"/>
    <col min="8709" max="8709" width="8.5703125" style="229" customWidth="1"/>
    <col min="8710" max="8710" width="9.85546875" style="229" customWidth="1"/>
    <col min="8711" max="8711" width="13.85546875" style="229" customWidth="1"/>
    <col min="8712" max="8960" width="9.140625" style="229"/>
    <col min="8961" max="8961" width="3.85546875" style="229" customWidth="1"/>
    <col min="8962" max="8962" width="12" style="229" customWidth="1"/>
    <col min="8963" max="8963" width="40.42578125" style="229" customWidth="1"/>
    <col min="8964" max="8964" width="5.5703125" style="229" customWidth="1"/>
    <col min="8965" max="8965" width="8.5703125" style="229" customWidth="1"/>
    <col min="8966" max="8966" width="9.85546875" style="229" customWidth="1"/>
    <col min="8967" max="8967" width="13.85546875" style="229" customWidth="1"/>
    <col min="8968" max="9216" width="9.140625" style="229"/>
    <col min="9217" max="9217" width="3.85546875" style="229" customWidth="1"/>
    <col min="9218" max="9218" width="12" style="229" customWidth="1"/>
    <col min="9219" max="9219" width="40.42578125" style="229" customWidth="1"/>
    <col min="9220" max="9220" width="5.5703125" style="229" customWidth="1"/>
    <col min="9221" max="9221" width="8.5703125" style="229" customWidth="1"/>
    <col min="9222" max="9222" width="9.85546875" style="229" customWidth="1"/>
    <col min="9223" max="9223" width="13.85546875" style="229" customWidth="1"/>
    <col min="9224" max="9472" width="9.140625" style="229"/>
    <col min="9473" max="9473" width="3.85546875" style="229" customWidth="1"/>
    <col min="9474" max="9474" width="12" style="229" customWidth="1"/>
    <col min="9475" max="9475" width="40.42578125" style="229" customWidth="1"/>
    <col min="9476" max="9476" width="5.5703125" style="229" customWidth="1"/>
    <col min="9477" max="9477" width="8.5703125" style="229" customWidth="1"/>
    <col min="9478" max="9478" width="9.85546875" style="229" customWidth="1"/>
    <col min="9479" max="9479" width="13.85546875" style="229" customWidth="1"/>
    <col min="9480" max="9728" width="9.140625" style="229"/>
    <col min="9729" max="9729" width="3.85546875" style="229" customWidth="1"/>
    <col min="9730" max="9730" width="12" style="229" customWidth="1"/>
    <col min="9731" max="9731" width="40.42578125" style="229" customWidth="1"/>
    <col min="9732" max="9732" width="5.5703125" style="229" customWidth="1"/>
    <col min="9733" max="9733" width="8.5703125" style="229" customWidth="1"/>
    <col min="9734" max="9734" width="9.85546875" style="229" customWidth="1"/>
    <col min="9735" max="9735" width="13.85546875" style="229" customWidth="1"/>
    <col min="9736" max="9984" width="9.140625" style="229"/>
    <col min="9985" max="9985" width="3.85546875" style="229" customWidth="1"/>
    <col min="9986" max="9986" width="12" style="229" customWidth="1"/>
    <col min="9987" max="9987" width="40.42578125" style="229" customWidth="1"/>
    <col min="9988" max="9988" width="5.5703125" style="229" customWidth="1"/>
    <col min="9989" max="9989" width="8.5703125" style="229" customWidth="1"/>
    <col min="9990" max="9990" width="9.85546875" style="229" customWidth="1"/>
    <col min="9991" max="9991" width="13.85546875" style="229" customWidth="1"/>
    <col min="9992" max="10240" width="9.140625" style="229"/>
    <col min="10241" max="10241" width="3.85546875" style="229" customWidth="1"/>
    <col min="10242" max="10242" width="12" style="229" customWidth="1"/>
    <col min="10243" max="10243" width="40.42578125" style="229" customWidth="1"/>
    <col min="10244" max="10244" width="5.5703125" style="229" customWidth="1"/>
    <col min="10245" max="10245" width="8.5703125" style="229" customWidth="1"/>
    <col min="10246" max="10246" width="9.85546875" style="229" customWidth="1"/>
    <col min="10247" max="10247" width="13.85546875" style="229" customWidth="1"/>
    <col min="10248" max="10496" width="9.140625" style="229"/>
    <col min="10497" max="10497" width="3.85546875" style="229" customWidth="1"/>
    <col min="10498" max="10498" width="12" style="229" customWidth="1"/>
    <col min="10499" max="10499" width="40.42578125" style="229" customWidth="1"/>
    <col min="10500" max="10500" width="5.5703125" style="229" customWidth="1"/>
    <col min="10501" max="10501" width="8.5703125" style="229" customWidth="1"/>
    <col min="10502" max="10502" width="9.85546875" style="229" customWidth="1"/>
    <col min="10503" max="10503" width="13.85546875" style="229" customWidth="1"/>
    <col min="10504" max="10752" width="9.140625" style="229"/>
    <col min="10753" max="10753" width="3.85546875" style="229" customWidth="1"/>
    <col min="10754" max="10754" width="12" style="229" customWidth="1"/>
    <col min="10755" max="10755" width="40.42578125" style="229" customWidth="1"/>
    <col min="10756" max="10756" width="5.5703125" style="229" customWidth="1"/>
    <col min="10757" max="10757" width="8.5703125" style="229" customWidth="1"/>
    <col min="10758" max="10758" width="9.85546875" style="229" customWidth="1"/>
    <col min="10759" max="10759" width="13.85546875" style="229" customWidth="1"/>
    <col min="10760" max="11008" width="9.140625" style="229"/>
    <col min="11009" max="11009" width="3.85546875" style="229" customWidth="1"/>
    <col min="11010" max="11010" width="12" style="229" customWidth="1"/>
    <col min="11011" max="11011" width="40.42578125" style="229" customWidth="1"/>
    <col min="11012" max="11012" width="5.5703125" style="229" customWidth="1"/>
    <col min="11013" max="11013" width="8.5703125" style="229" customWidth="1"/>
    <col min="11014" max="11014" width="9.85546875" style="229" customWidth="1"/>
    <col min="11015" max="11015" width="13.85546875" style="229" customWidth="1"/>
    <col min="11016" max="11264" width="9.140625" style="229"/>
    <col min="11265" max="11265" width="3.85546875" style="229" customWidth="1"/>
    <col min="11266" max="11266" width="12" style="229" customWidth="1"/>
    <col min="11267" max="11267" width="40.42578125" style="229" customWidth="1"/>
    <col min="11268" max="11268" width="5.5703125" style="229" customWidth="1"/>
    <col min="11269" max="11269" width="8.5703125" style="229" customWidth="1"/>
    <col min="11270" max="11270" width="9.85546875" style="229" customWidth="1"/>
    <col min="11271" max="11271" width="13.85546875" style="229" customWidth="1"/>
    <col min="11272" max="11520" width="9.140625" style="229"/>
    <col min="11521" max="11521" width="3.85546875" style="229" customWidth="1"/>
    <col min="11522" max="11522" width="12" style="229" customWidth="1"/>
    <col min="11523" max="11523" width="40.42578125" style="229" customWidth="1"/>
    <col min="11524" max="11524" width="5.5703125" style="229" customWidth="1"/>
    <col min="11525" max="11525" width="8.5703125" style="229" customWidth="1"/>
    <col min="11526" max="11526" width="9.85546875" style="229" customWidth="1"/>
    <col min="11527" max="11527" width="13.85546875" style="229" customWidth="1"/>
    <col min="11528" max="11776" width="9.140625" style="229"/>
    <col min="11777" max="11777" width="3.85546875" style="229" customWidth="1"/>
    <col min="11778" max="11778" width="12" style="229" customWidth="1"/>
    <col min="11779" max="11779" width="40.42578125" style="229" customWidth="1"/>
    <col min="11780" max="11780" width="5.5703125" style="229" customWidth="1"/>
    <col min="11781" max="11781" width="8.5703125" style="229" customWidth="1"/>
    <col min="11782" max="11782" width="9.85546875" style="229" customWidth="1"/>
    <col min="11783" max="11783" width="13.85546875" style="229" customWidth="1"/>
    <col min="11784" max="12032" width="9.140625" style="229"/>
    <col min="12033" max="12033" width="3.85546875" style="229" customWidth="1"/>
    <col min="12034" max="12034" width="12" style="229" customWidth="1"/>
    <col min="12035" max="12035" width="40.42578125" style="229" customWidth="1"/>
    <col min="12036" max="12036" width="5.5703125" style="229" customWidth="1"/>
    <col min="12037" max="12037" width="8.5703125" style="229" customWidth="1"/>
    <col min="12038" max="12038" width="9.85546875" style="229" customWidth="1"/>
    <col min="12039" max="12039" width="13.85546875" style="229" customWidth="1"/>
    <col min="12040" max="12288" width="9.140625" style="229"/>
    <col min="12289" max="12289" width="3.85546875" style="229" customWidth="1"/>
    <col min="12290" max="12290" width="12" style="229" customWidth="1"/>
    <col min="12291" max="12291" width="40.42578125" style="229" customWidth="1"/>
    <col min="12292" max="12292" width="5.5703125" style="229" customWidth="1"/>
    <col min="12293" max="12293" width="8.5703125" style="229" customWidth="1"/>
    <col min="12294" max="12294" width="9.85546875" style="229" customWidth="1"/>
    <col min="12295" max="12295" width="13.85546875" style="229" customWidth="1"/>
    <col min="12296" max="12544" width="9.140625" style="229"/>
    <col min="12545" max="12545" width="3.85546875" style="229" customWidth="1"/>
    <col min="12546" max="12546" width="12" style="229" customWidth="1"/>
    <col min="12547" max="12547" width="40.42578125" style="229" customWidth="1"/>
    <col min="12548" max="12548" width="5.5703125" style="229" customWidth="1"/>
    <col min="12549" max="12549" width="8.5703125" style="229" customWidth="1"/>
    <col min="12550" max="12550" width="9.85546875" style="229" customWidth="1"/>
    <col min="12551" max="12551" width="13.85546875" style="229" customWidth="1"/>
    <col min="12552" max="12800" width="9.140625" style="229"/>
    <col min="12801" max="12801" width="3.85546875" style="229" customWidth="1"/>
    <col min="12802" max="12802" width="12" style="229" customWidth="1"/>
    <col min="12803" max="12803" width="40.42578125" style="229" customWidth="1"/>
    <col min="12804" max="12804" width="5.5703125" style="229" customWidth="1"/>
    <col min="12805" max="12805" width="8.5703125" style="229" customWidth="1"/>
    <col min="12806" max="12806" width="9.85546875" style="229" customWidth="1"/>
    <col min="12807" max="12807" width="13.85546875" style="229" customWidth="1"/>
    <col min="12808" max="13056" width="9.140625" style="229"/>
    <col min="13057" max="13057" width="3.85546875" style="229" customWidth="1"/>
    <col min="13058" max="13058" width="12" style="229" customWidth="1"/>
    <col min="13059" max="13059" width="40.42578125" style="229" customWidth="1"/>
    <col min="13060" max="13060" width="5.5703125" style="229" customWidth="1"/>
    <col min="13061" max="13061" width="8.5703125" style="229" customWidth="1"/>
    <col min="13062" max="13062" width="9.85546875" style="229" customWidth="1"/>
    <col min="13063" max="13063" width="13.85546875" style="229" customWidth="1"/>
    <col min="13064" max="13312" width="9.140625" style="229"/>
    <col min="13313" max="13313" width="3.85546875" style="229" customWidth="1"/>
    <col min="13314" max="13314" width="12" style="229" customWidth="1"/>
    <col min="13315" max="13315" width="40.42578125" style="229" customWidth="1"/>
    <col min="13316" max="13316" width="5.5703125" style="229" customWidth="1"/>
    <col min="13317" max="13317" width="8.5703125" style="229" customWidth="1"/>
    <col min="13318" max="13318" width="9.85546875" style="229" customWidth="1"/>
    <col min="13319" max="13319" width="13.85546875" style="229" customWidth="1"/>
    <col min="13320" max="13568" width="9.140625" style="229"/>
    <col min="13569" max="13569" width="3.85546875" style="229" customWidth="1"/>
    <col min="13570" max="13570" width="12" style="229" customWidth="1"/>
    <col min="13571" max="13571" width="40.42578125" style="229" customWidth="1"/>
    <col min="13572" max="13572" width="5.5703125" style="229" customWidth="1"/>
    <col min="13573" max="13573" width="8.5703125" style="229" customWidth="1"/>
    <col min="13574" max="13574" width="9.85546875" style="229" customWidth="1"/>
    <col min="13575" max="13575" width="13.85546875" style="229" customWidth="1"/>
    <col min="13576" max="13824" width="9.140625" style="229"/>
    <col min="13825" max="13825" width="3.85546875" style="229" customWidth="1"/>
    <col min="13826" max="13826" width="12" style="229" customWidth="1"/>
    <col min="13827" max="13827" width="40.42578125" style="229" customWidth="1"/>
    <col min="13828" max="13828" width="5.5703125" style="229" customWidth="1"/>
    <col min="13829" max="13829" width="8.5703125" style="229" customWidth="1"/>
    <col min="13830" max="13830" width="9.85546875" style="229" customWidth="1"/>
    <col min="13831" max="13831" width="13.85546875" style="229" customWidth="1"/>
    <col min="13832" max="14080" width="9.140625" style="229"/>
    <col min="14081" max="14081" width="3.85546875" style="229" customWidth="1"/>
    <col min="14082" max="14082" width="12" style="229" customWidth="1"/>
    <col min="14083" max="14083" width="40.42578125" style="229" customWidth="1"/>
    <col min="14084" max="14084" width="5.5703125" style="229" customWidth="1"/>
    <col min="14085" max="14085" width="8.5703125" style="229" customWidth="1"/>
    <col min="14086" max="14086" width="9.85546875" style="229" customWidth="1"/>
    <col min="14087" max="14087" width="13.85546875" style="229" customWidth="1"/>
    <col min="14088" max="14336" width="9.140625" style="229"/>
    <col min="14337" max="14337" width="3.85546875" style="229" customWidth="1"/>
    <col min="14338" max="14338" width="12" style="229" customWidth="1"/>
    <col min="14339" max="14339" width="40.42578125" style="229" customWidth="1"/>
    <col min="14340" max="14340" width="5.5703125" style="229" customWidth="1"/>
    <col min="14341" max="14341" width="8.5703125" style="229" customWidth="1"/>
    <col min="14342" max="14342" width="9.85546875" style="229" customWidth="1"/>
    <col min="14343" max="14343" width="13.85546875" style="229" customWidth="1"/>
    <col min="14344" max="14592" width="9.140625" style="229"/>
    <col min="14593" max="14593" width="3.85546875" style="229" customWidth="1"/>
    <col min="14594" max="14594" width="12" style="229" customWidth="1"/>
    <col min="14595" max="14595" width="40.42578125" style="229" customWidth="1"/>
    <col min="14596" max="14596" width="5.5703125" style="229" customWidth="1"/>
    <col min="14597" max="14597" width="8.5703125" style="229" customWidth="1"/>
    <col min="14598" max="14598" width="9.85546875" style="229" customWidth="1"/>
    <col min="14599" max="14599" width="13.85546875" style="229" customWidth="1"/>
    <col min="14600" max="14848" width="9.140625" style="229"/>
    <col min="14849" max="14849" width="3.85546875" style="229" customWidth="1"/>
    <col min="14850" max="14850" width="12" style="229" customWidth="1"/>
    <col min="14851" max="14851" width="40.42578125" style="229" customWidth="1"/>
    <col min="14852" max="14852" width="5.5703125" style="229" customWidth="1"/>
    <col min="14853" max="14853" width="8.5703125" style="229" customWidth="1"/>
    <col min="14854" max="14854" width="9.85546875" style="229" customWidth="1"/>
    <col min="14855" max="14855" width="13.85546875" style="229" customWidth="1"/>
    <col min="14856" max="15104" width="9.140625" style="229"/>
    <col min="15105" max="15105" width="3.85546875" style="229" customWidth="1"/>
    <col min="15106" max="15106" width="12" style="229" customWidth="1"/>
    <col min="15107" max="15107" width="40.42578125" style="229" customWidth="1"/>
    <col min="15108" max="15108" width="5.5703125" style="229" customWidth="1"/>
    <col min="15109" max="15109" width="8.5703125" style="229" customWidth="1"/>
    <col min="15110" max="15110" width="9.85546875" style="229" customWidth="1"/>
    <col min="15111" max="15111" width="13.85546875" style="229" customWidth="1"/>
    <col min="15112" max="15360" width="9.140625" style="229"/>
    <col min="15361" max="15361" width="3.85546875" style="229" customWidth="1"/>
    <col min="15362" max="15362" width="12" style="229" customWidth="1"/>
    <col min="15363" max="15363" width="40.42578125" style="229" customWidth="1"/>
    <col min="15364" max="15364" width="5.5703125" style="229" customWidth="1"/>
    <col min="15365" max="15365" width="8.5703125" style="229" customWidth="1"/>
    <col min="15366" max="15366" width="9.85546875" style="229" customWidth="1"/>
    <col min="15367" max="15367" width="13.85546875" style="229" customWidth="1"/>
    <col min="15368" max="15616" width="9.140625" style="229"/>
    <col min="15617" max="15617" width="3.85546875" style="229" customWidth="1"/>
    <col min="15618" max="15618" width="12" style="229" customWidth="1"/>
    <col min="15619" max="15619" width="40.42578125" style="229" customWidth="1"/>
    <col min="15620" max="15620" width="5.5703125" style="229" customWidth="1"/>
    <col min="15621" max="15621" width="8.5703125" style="229" customWidth="1"/>
    <col min="15622" max="15622" width="9.85546875" style="229" customWidth="1"/>
    <col min="15623" max="15623" width="13.85546875" style="229" customWidth="1"/>
    <col min="15624" max="15872" width="9.140625" style="229"/>
    <col min="15873" max="15873" width="3.85546875" style="229" customWidth="1"/>
    <col min="15874" max="15874" width="12" style="229" customWidth="1"/>
    <col min="15875" max="15875" width="40.42578125" style="229" customWidth="1"/>
    <col min="15876" max="15876" width="5.5703125" style="229" customWidth="1"/>
    <col min="15877" max="15877" width="8.5703125" style="229" customWidth="1"/>
    <col min="15878" max="15878" width="9.85546875" style="229" customWidth="1"/>
    <col min="15879" max="15879" width="13.85546875" style="229" customWidth="1"/>
    <col min="15880" max="16128" width="9.140625" style="229"/>
    <col min="16129" max="16129" width="3.85546875" style="229" customWidth="1"/>
    <col min="16130" max="16130" width="12" style="229" customWidth="1"/>
    <col min="16131" max="16131" width="40.42578125" style="229" customWidth="1"/>
    <col min="16132" max="16132" width="5.5703125" style="229" customWidth="1"/>
    <col min="16133" max="16133" width="8.5703125" style="229" customWidth="1"/>
    <col min="16134" max="16134" width="9.85546875" style="229" customWidth="1"/>
    <col min="16135" max="16135" width="13.85546875" style="229" customWidth="1"/>
    <col min="16136" max="16384" width="9.140625" style="229"/>
  </cols>
  <sheetData>
    <row r="1" spans="1:104" ht="15" x14ac:dyDescent="0.25">
      <c r="A1" s="1" t="s">
        <v>270</v>
      </c>
      <c r="B1" s="2"/>
      <c r="C1" s="3"/>
      <c r="D1" s="5" t="s">
        <v>269</v>
      </c>
      <c r="E1" s="6"/>
      <c r="F1" s="270"/>
      <c r="G1" s="205" t="s">
        <v>267</v>
      </c>
    </row>
    <row r="2" spans="1:104" ht="17.25" customHeight="1" x14ac:dyDescent="0.25">
      <c r="A2" s="250" t="s">
        <v>13</v>
      </c>
      <c r="B2" s="13"/>
      <c r="C2" s="14"/>
      <c r="D2" s="16" t="s">
        <v>268</v>
      </c>
      <c r="E2" s="17"/>
      <c r="F2" s="271"/>
      <c r="G2" s="206"/>
    </row>
    <row r="3" spans="1:104" ht="14.25" customHeight="1" x14ac:dyDescent="0.2">
      <c r="A3" s="251" t="s">
        <v>153</v>
      </c>
      <c r="B3" s="252" t="s">
        <v>154</v>
      </c>
      <c r="C3" s="252" t="s">
        <v>155</v>
      </c>
      <c r="D3" s="252" t="s">
        <v>4</v>
      </c>
      <c r="E3" s="252" t="s">
        <v>156</v>
      </c>
      <c r="F3" s="252" t="s">
        <v>157</v>
      </c>
      <c r="G3" s="253" t="s">
        <v>158</v>
      </c>
    </row>
    <row r="4" spans="1:104" ht="15" customHeight="1" x14ac:dyDescent="0.25">
      <c r="A4" s="254"/>
      <c r="B4" s="255"/>
      <c r="C4" s="438" t="s">
        <v>411</v>
      </c>
      <c r="D4" s="256"/>
      <c r="E4" s="272"/>
      <c r="F4" s="272"/>
      <c r="G4" s="256"/>
    </row>
    <row r="5" spans="1:104" ht="24.75" customHeight="1" x14ac:dyDescent="0.2">
      <c r="A5" s="230" t="s">
        <v>159</v>
      </c>
      <c r="B5" s="231" t="s">
        <v>160</v>
      </c>
      <c r="C5" s="232" t="s">
        <v>274</v>
      </c>
      <c r="D5" s="233"/>
      <c r="E5" s="233"/>
      <c r="F5" s="233"/>
      <c r="G5" s="234"/>
      <c r="O5" s="235">
        <v>1</v>
      </c>
    </row>
    <row r="6" spans="1:104" ht="23.25" x14ac:dyDescent="0.25">
      <c r="A6" s="236">
        <v>1</v>
      </c>
      <c r="B6" s="237" t="s">
        <v>161</v>
      </c>
      <c r="C6" s="238" t="s">
        <v>162</v>
      </c>
      <c r="D6" s="239" t="s">
        <v>103</v>
      </c>
      <c r="E6" s="273">
        <v>2</v>
      </c>
      <c r="F6" s="273"/>
      <c r="G6" s="265">
        <f>E6*F6</f>
        <v>0</v>
      </c>
      <c r="O6" s="235">
        <v>2</v>
      </c>
      <c r="AA6" s="229">
        <v>12</v>
      </c>
      <c r="AB6" s="229">
        <v>0</v>
      </c>
      <c r="AC6" s="229">
        <v>1</v>
      </c>
      <c r="AZ6" s="229">
        <v>4</v>
      </c>
      <c r="BA6" s="229">
        <f>IF(AZ6=1,G6,0)</f>
        <v>0</v>
      </c>
      <c r="BB6" s="229">
        <f>IF(AZ6=2,G6,0)</f>
        <v>0</v>
      </c>
      <c r="BC6" s="229">
        <f>IF(AZ6=3,G6,0)</f>
        <v>0</v>
      </c>
      <c r="BD6" s="229">
        <f>IF(AZ6=4,G6,0)</f>
        <v>0</v>
      </c>
      <c r="BE6" s="229">
        <f>IF(AZ6=5,G6,0)</f>
        <v>0</v>
      </c>
      <c r="CZ6" s="229">
        <v>0</v>
      </c>
    </row>
    <row r="7" spans="1:104" x14ac:dyDescent="0.2">
      <c r="A7" s="240"/>
      <c r="B7" s="241" t="s">
        <v>163</v>
      </c>
      <c r="C7" s="242" t="str">
        <f>CONCATENATE(B5," ",C5)</f>
        <v>M20 Demontaže</v>
      </c>
      <c r="D7" s="240"/>
      <c r="E7" s="274"/>
      <c r="F7" s="274"/>
      <c r="G7" s="266">
        <f>SUM(G5:G6)</f>
        <v>0</v>
      </c>
      <c r="O7" s="235">
        <v>4</v>
      </c>
      <c r="BA7" s="243">
        <f>SUM(BA5:BA6)</f>
        <v>0</v>
      </c>
      <c r="BB7" s="243">
        <f>SUM(BB5:BB6)</f>
        <v>0</v>
      </c>
      <c r="BC7" s="243">
        <f>SUM(BC5:BC6)</f>
        <v>0</v>
      </c>
      <c r="BD7" s="243">
        <f>SUM(BD5:BD6)</f>
        <v>0</v>
      </c>
      <c r="BE7" s="243">
        <f>SUM(BE5:BE6)</f>
        <v>0</v>
      </c>
    </row>
    <row r="8" spans="1:104" x14ac:dyDescent="0.2">
      <c r="A8" s="230" t="s">
        <v>159</v>
      </c>
      <c r="B8" s="231" t="s">
        <v>164</v>
      </c>
      <c r="C8" s="232" t="s">
        <v>165</v>
      </c>
      <c r="D8" s="233"/>
      <c r="E8" s="233"/>
      <c r="F8" s="233"/>
      <c r="G8" s="267"/>
      <c r="O8" s="235">
        <v>1</v>
      </c>
    </row>
    <row r="9" spans="1:104" ht="15" x14ac:dyDescent="0.25">
      <c r="A9" s="236">
        <v>2</v>
      </c>
      <c r="B9" s="237" t="s">
        <v>166</v>
      </c>
      <c r="C9" s="238" t="s">
        <v>167</v>
      </c>
      <c r="D9" s="239" t="s">
        <v>168</v>
      </c>
      <c r="E9" s="273">
        <v>6</v>
      </c>
      <c r="F9" s="273"/>
      <c r="G9" s="265">
        <f>E9*F9</f>
        <v>0</v>
      </c>
      <c r="O9" s="235">
        <v>2</v>
      </c>
      <c r="AA9" s="229">
        <v>12</v>
      </c>
      <c r="AB9" s="229">
        <v>0</v>
      </c>
      <c r="AC9" s="229">
        <v>2</v>
      </c>
      <c r="AZ9" s="229">
        <v>4</v>
      </c>
      <c r="BA9" s="229">
        <f>IF(AZ9=1,G9,0)</f>
        <v>0</v>
      </c>
      <c r="BB9" s="229">
        <f>IF(AZ9=2,G9,0)</f>
        <v>0</v>
      </c>
      <c r="BC9" s="229">
        <f>IF(AZ9=3,G9,0)</f>
        <v>0</v>
      </c>
      <c r="BD9" s="229">
        <f>IF(AZ9=4,G9,0)</f>
        <v>0</v>
      </c>
      <c r="BE9" s="229">
        <f>IF(AZ9=5,G9,0)</f>
        <v>0</v>
      </c>
      <c r="CZ9" s="229">
        <v>0</v>
      </c>
    </row>
    <row r="10" spans="1:104" ht="12.75" customHeight="1" x14ac:dyDescent="0.2">
      <c r="A10" s="244"/>
      <c r="B10" s="245"/>
      <c r="C10" s="521" t="s">
        <v>169</v>
      </c>
      <c r="D10" s="521"/>
      <c r="E10" s="275">
        <v>6</v>
      </c>
      <c r="F10" s="276"/>
      <c r="G10" s="268"/>
      <c r="M10" s="235" t="s">
        <v>169</v>
      </c>
      <c r="O10" s="235"/>
    </row>
    <row r="11" spans="1:104" ht="15" x14ac:dyDescent="0.25">
      <c r="A11" s="236">
        <v>3</v>
      </c>
      <c r="B11" s="237" t="s">
        <v>170</v>
      </c>
      <c r="C11" s="238" t="s">
        <v>171</v>
      </c>
      <c r="D11" s="239" t="s">
        <v>168</v>
      </c>
      <c r="E11" s="273">
        <v>3</v>
      </c>
      <c r="F11" s="273"/>
      <c r="G11" s="265">
        <f>E11*F11</f>
        <v>0</v>
      </c>
      <c r="O11" s="235">
        <v>2</v>
      </c>
      <c r="AA11" s="229">
        <v>12</v>
      </c>
      <c r="AB11" s="229">
        <v>0</v>
      </c>
      <c r="AC11" s="229">
        <v>3</v>
      </c>
      <c r="AZ11" s="229">
        <v>4</v>
      </c>
      <c r="BA11" s="229">
        <f>IF(AZ11=1,G11,0)</f>
        <v>0</v>
      </c>
      <c r="BB11" s="229">
        <f>IF(AZ11=2,G11,0)</f>
        <v>0</v>
      </c>
      <c r="BC11" s="229">
        <f>IF(AZ11=3,G11,0)</f>
        <v>0</v>
      </c>
      <c r="BD11" s="229">
        <f>IF(AZ11=4,G11,0)</f>
        <v>0</v>
      </c>
      <c r="BE11" s="229">
        <f>IF(AZ11=5,G11,0)</f>
        <v>0</v>
      </c>
      <c r="CZ11" s="229">
        <v>0</v>
      </c>
    </row>
    <row r="12" spans="1:104" ht="12.75" customHeight="1" x14ac:dyDescent="0.2">
      <c r="A12" s="244"/>
      <c r="B12" s="245"/>
      <c r="C12" s="521" t="s">
        <v>172</v>
      </c>
      <c r="D12" s="521"/>
      <c r="E12" s="275">
        <v>3</v>
      </c>
      <c r="F12" s="276"/>
      <c r="G12" s="268"/>
      <c r="M12" s="235" t="s">
        <v>172</v>
      </c>
      <c r="O12" s="235"/>
    </row>
    <row r="13" spans="1:104" ht="15" x14ac:dyDescent="0.25">
      <c r="A13" s="236">
        <v>4</v>
      </c>
      <c r="B13" s="237" t="s">
        <v>173</v>
      </c>
      <c r="C13" s="238" t="s">
        <v>174</v>
      </c>
      <c r="D13" s="239" t="s">
        <v>168</v>
      </c>
      <c r="E13" s="273">
        <v>12</v>
      </c>
      <c r="F13" s="273"/>
      <c r="G13" s="265">
        <f>E13*F13</f>
        <v>0</v>
      </c>
      <c r="O13" s="235">
        <v>2</v>
      </c>
      <c r="AA13" s="229">
        <v>12</v>
      </c>
      <c r="AB13" s="229">
        <v>0</v>
      </c>
      <c r="AC13" s="229">
        <v>4</v>
      </c>
      <c r="AZ13" s="229">
        <v>4</v>
      </c>
      <c r="BA13" s="229">
        <f>IF(AZ13=1,G13,0)</f>
        <v>0</v>
      </c>
      <c r="BB13" s="229">
        <f>IF(AZ13=2,G13,0)</f>
        <v>0</v>
      </c>
      <c r="BC13" s="229">
        <f>IF(AZ13=3,G13,0)</f>
        <v>0</v>
      </c>
      <c r="BD13" s="229">
        <f>IF(AZ13=4,G13,0)</f>
        <v>0</v>
      </c>
      <c r="BE13" s="229">
        <f>IF(AZ13=5,G13,0)</f>
        <v>0</v>
      </c>
      <c r="CZ13" s="229">
        <v>0</v>
      </c>
    </row>
    <row r="14" spans="1:104" ht="12.75" customHeight="1" x14ac:dyDescent="0.2">
      <c r="A14" s="244"/>
      <c r="B14" s="245"/>
      <c r="C14" s="521" t="s">
        <v>175</v>
      </c>
      <c r="D14" s="521"/>
      <c r="E14" s="275">
        <v>12</v>
      </c>
      <c r="F14" s="276"/>
      <c r="G14" s="268"/>
      <c r="M14" s="235" t="s">
        <v>175</v>
      </c>
      <c r="O14" s="235"/>
    </row>
    <row r="15" spans="1:104" ht="23.25" x14ac:dyDescent="0.25">
      <c r="A15" s="236">
        <v>5</v>
      </c>
      <c r="B15" s="237" t="s">
        <v>176</v>
      </c>
      <c r="C15" s="238" t="s">
        <v>177</v>
      </c>
      <c r="D15" s="239" t="s">
        <v>168</v>
      </c>
      <c r="E15" s="273">
        <v>2</v>
      </c>
      <c r="F15" s="273"/>
      <c r="G15" s="265">
        <f>E15*F15</f>
        <v>0</v>
      </c>
      <c r="O15" s="235">
        <v>2</v>
      </c>
      <c r="AA15" s="229">
        <v>12</v>
      </c>
      <c r="AB15" s="229">
        <v>0</v>
      </c>
      <c r="AC15" s="229">
        <v>5</v>
      </c>
      <c r="AZ15" s="229">
        <v>4</v>
      </c>
      <c r="BA15" s="229">
        <f>IF(AZ15=1,G15,0)</f>
        <v>0</v>
      </c>
      <c r="BB15" s="229">
        <f>IF(AZ15=2,G15,0)</f>
        <v>0</v>
      </c>
      <c r="BC15" s="229">
        <f>IF(AZ15=3,G15,0)</f>
        <v>0</v>
      </c>
      <c r="BD15" s="229">
        <f>IF(AZ15=4,G15,0)</f>
        <v>0</v>
      </c>
      <c r="BE15" s="229">
        <f>IF(AZ15=5,G15,0)</f>
        <v>0</v>
      </c>
      <c r="CZ15" s="229">
        <v>0</v>
      </c>
    </row>
    <row r="16" spans="1:104" ht="12.75" customHeight="1" x14ac:dyDescent="0.2">
      <c r="A16" s="244"/>
      <c r="B16" s="245"/>
      <c r="C16" s="521" t="s">
        <v>178</v>
      </c>
      <c r="D16" s="521"/>
      <c r="E16" s="275">
        <v>2</v>
      </c>
      <c r="F16" s="276"/>
      <c r="G16" s="268"/>
      <c r="M16" s="235" t="s">
        <v>178</v>
      </c>
      <c r="O16" s="235"/>
    </row>
    <row r="17" spans="1:104" ht="23.25" x14ac:dyDescent="0.25">
      <c r="A17" s="236">
        <v>6</v>
      </c>
      <c r="B17" s="237" t="s">
        <v>179</v>
      </c>
      <c r="C17" s="238" t="s">
        <v>180</v>
      </c>
      <c r="D17" s="239" t="s">
        <v>168</v>
      </c>
      <c r="E17" s="273">
        <v>2</v>
      </c>
      <c r="F17" s="273"/>
      <c r="G17" s="265">
        <f>E17*F17</f>
        <v>0</v>
      </c>
      <c r="O17" s="235">
        <v>2</v>
      </c>
      <c r="AA17" s="229">
        <v>12</v>
      </c>
      <c r="AB17" s="229">
        <v>1</v>
      </c>
      <c r="AC17" s="229">
        <v>6</v>
      </c>
      <c r="AZ17" s="229">
        <v>3</v>
      </c>
      <c r="BA17" s="229">
        <f>IF(AZ17=1,G17,0)</f>
        <v>0</v>
      </c>
      <c r="BB17" s="229">
        <f>IF(AZ17=2,G17,0)</f>
        <v>0</v>
      </c>
      <c r="BC17" s="229">
        <f>IF(AZ17=3,G17,0)</f>
        <v>0</v>
      </c>
      <c r="BD17" s="229">
        <f>IF(AZ17=4,G17,0)</f>
        <v>0</v>
      </c>
      <c r="BE17" s="229">
        <f>IF(AZ17=5,G17,0)</f>
        <v>0</v>
      </c>
      <c r="CZ17" s="229">
        <v>5.1499999999999997E-2</v>
      </c>
    </row>
    <row r="18" spans="1:104" ht="23.25" x14ac:dyDescent="0.25">
      <c r="A18" s="236">
        <v>7</v>
      </c>
      <c r="B18" s="237" t="s">
        <v>181</v>
      </c>
      <c r="C18" s="238" t="s">
        <v>182</v>
      </c>
      <c r="D18" s="239" t="s">
        <v>168</v>
      </c>
      <c r="E18" s="273">
        <v>1</v>
      </c>
      <c r="F18" s="273"/>
      <c r="G18" s="265">
        <f>E18*F18</f>
        <v>0</v>
      </c>
      <c r="O18" s="235">
        <v>2</v>
      </c>
      <c r="AA18" s="229">
        <v>12</v>
      </c>
      <c r="AB18" s="229">
        <v>0</v>
      </c>
      <c r="AC18" s="229">
        <v>7</v>
      </c>
      <c r="AZ18" s="229">
        <v>4</v>
      </c>
      <c r="BA18" s="229">
        <f>IF(AZ18=1,G18,0)</f>
        <v>0</v>
      </c>
      <c r="BB18" s="229">
        <f>IF(AZ18=2,G18,0)</f>
        <v>0</v>
      </c>
      <c r="BC18" s="229">
        <f>IF(AZ18=3,G18,0)</f>
        <v>0</v>
      </c>
      <c r="BD18" s="229">
        <f>IF(AZ18=4,G18,0)</f>
        <v>0</v>
      </c>
      <c r="BE18" s="229">
        <f>IF(AZ18=5,G18,0)</f>
        <v>0</v>
      </c>
      <c r="CZ18" s="229">
        <v>0</v>
      </c>
    </row>
    <row r="19" spans="1:104" ht="12.75" customHeight="1" x14ac:dyDescent="0.2">
      <c r="A19" s="244"/>
      <c r="B19" s="245"/>
      <c r="C19" s="521" t="s">
        <v>183</v>
      </c>
      <c r="D19" s="521"/>
      <c r="E19" s="275">
        <v>1</v>
      </c>
      <c r="F19" s="276"/>
      <c r="G19" s="268"/>
      <c r="M19" s="235" t="s">
        <v>183</v>
      </c>
      <c r="O19" s="235"/>
    </row>
    <row r="20" spans="1:104" ht="23.25" x14ac:dyDescent="0.25">
      <c r="A20" s="236">
        <v>8</v>
      </c>
      <c r="B20" s="237" t="s">
        <v>184</v>
      </c>
      <c r="C20" s="238" t="s">
        <v>185</v>
      </c>
      <c r="D20" s="239" t="s">
        <v>168</v>
      </c>
      <c r="E20" s="273">
        <v>1</v>
      </c>
      <c r="F20" s="273"/>
      <c r="G20" s="265">
        <f>E20*F20</f>
        <v>0</v>
      </c>
      <c r="O20" s="235">
        <v>2</v>
      </c>
      <c r="AA20" s="229">
        <v>12</v>
      </c>
      <c r="AB20" s="229">
        <v>1</v>
      </c>
      <c r="AC20" s="229">
        <v>8</v>
      </c>
      <c r="AZ20" s="229">
        <v>3</v>
      </c>
      <c r="BA20" s="229">
        <f>IF(AZ20=1,G20,0)</f>
        <v>0</v>
      </c>
      <c r="BB20" s="229">
        <f>IF(AZ20=2,G20,0)</f>
        <v>0</v>
      </c>
      <c r="BC20" s="229">
        <f>IF(AZ20=3,G20,0)</f>
        <v>0</v>
      </c>
      <c r="BD20" s="229">
        <f>IF(AZ20=4,G20,0)</f>
        <v>0</v>
      </c>
      <c r="BE20" s="229">
        <f>IF(AZ20=5,G20,0)</f>
        <v>0</v>
      </c>
      <c r="CZ20" s="229">
        <v>0.14799999999999999</v>
      </c>
    </row>
    <row r="21" spans="1:104" ht="15" x14ac:dyDescent="0.25">
      <c r="A21" s="236">
        <v>9</v>
      </c>
      <c r="B21" s="237" t="s">
        <v>186</v>
      </c>
      <c r="C21" s="238" t="s">
        <v>187</v>
      </c>
      <c r="D21" s="239" t="s">
        <v>168</v>
      </c>
      <c r="E21" s="273">
        <v>9</v>
      </c>
      <c r="F21" s="273"/>
      <c r="G21" s="265">
        <f>E21*F21</f>
        <v>0</v>
      </c>
      <c r="O21" s="235">
        <v>2</v>
      </c>
      <c r="AA21" s="229">
        <v>12</v>
      </c>
      <c r="AB21" s="229">
        <v>0</v>
      </c>
      <c r="AC21" s="229">
        <v>9</v>
      </c>
      <c r="AZ21" s="229">
        <v>4</v>
      </c>
      <c r="BA21" s="229">
        <f>IF(AZ21=1,G21,0)</f>
        <v>0</v>
      </c>
      <c r="BB21" s="229">
        <f>IF(AZ21=2,G21,0)</f>
        <v>0</v>
      </c>
      <c r="BC21" s="229">
        <f>IF(AZ21=3,G21,0)</f>
        <v>0</v>
      </c>
      <c r="BD21" s="229">
        <f>IF(AZ21=4,G21,0)</f>
        <v>0</v>
      </c>
      <c r="BE21" s="229">
        <f>IF(AZ21=5,G21,0)</f>
        <v>0</v>
      </c>
      <c r="CZ21" s="229">
        <v>0</v>
      </c>
    </row>
    <row r="22" spans="1:104" ht="12.75" customHeight="1" x14ac:dyDescent="0.2">
      <c r="A22" s="244"/>
      <c r="B22" s="245"/>
      <c r="C22" s="521" t="s">
        <v>188</v>
      </c>
      <c r="D22" s="521"/>
      <c r="E22" s="275">
        <v>9</v>
      </c>
      <c r="F22" s="276"/>
      <c r="G22" s="268"/>
      <c r="M22" s="235" t="s">
        <v>188</v>
      </c>
      <c r="O22" s="235"/>
    </row>
    <row r="23" spans="1:104" ht="15" x14ac:dyDescent="0.25">
      <c r="A23" s="236">
        <v>10</v>
      </c>
      <c r="B23" s="237" t="s">
        <v>189</v>
      </c>
      <c r="C23" s="238" t="s">
        <v>190</v>
      </c>
      <c r="D23" s="239" t="s">
        <v>168</v>
      </c>
      <c r="E23" s="273">
        <v>9</v>
      </c>
      <c r="F23" s="273"/>
      <c r="G23" s="265">
        <f>E23*F23</f>
        <v>0</v>
      </c>
      <c r="O23" s="235">
        <v>2</v>
      </c>
      <c r="AA23" s="229">
        <v>12</v>
      </c>
      <c r="AB23" s="229">
        <v>1</v>
      </c>
      <c r="AC23" s="229">
        <v>10</v>
      </c>
      <c r="AZ23" s="229">
        <v>3</v>
      </c>
      <c r="BA23" s="229">
        <f>IF(AZ23=1,G23,0)</f>
        <v>0</v>
      </c>
      <c r="BB23" s="229">
        <f>IF(AZ23=2,G23,0)</f>
        <v>0</v>
      </c>
      <c r="BC23" s="229">
        <f>IF(AZ23=3,G23,0)</f>
        <v>0</v>
      </c>
      <c r="BD23" s="229">
        <f>IF(AZ23=4,G23,0)</f>
        <v>0</v>
      </c>
      <c r="BE23" s="229">
        <f>IF(AZ23=5,G23,0)</f>
        <v>0</v>
      </c>
      <c r="CZ23" s="229">
        <v>0</v>
      </c>
    </row>
    <row r="24" spans="1:104" ht="15" x14ac:dyDescent="0.25">
      <c r="A24" s="236">
        <v>11</v>
      </c>
      <c r="B24" s="237" t="s">
        <v>191</v>
      </c>
      <c r="C24" s="238" t="s">
        <v>192</v>
      </c>
      <c r="D24" s="239" t="s">
        <v>25</v>
      </c>
      <c r="E24" s="273">
        <v>9</v>
      </c>
      <c r="F24" s="273"/>
      <c r="G24" s="265">
        <f>E24*F24</f>
        <v>0</v>
      </c>
      <c r="O24" s="235">
        <v>2</v>
      </c>
      <c r="AA24" s="229">
        <v>12</v>
      </c>
      <c r="AB24" s="229">
        <v>0</v>
      </c>
      <c r="AC24" s="229">
        <v>11</v>
      </c>
      <c r="AZ24" s="229">
        <v>4</v>
      </c>
      <c r="BA24" s="229">
        <f>IF(AZ24=1,G24,0)</f>
        <v>0</v>
      </c>
      <c r="BB24" s="229">
        <f>IF(AZ24=2,G24,0)</f>
        <v>0</v>
      </c>
      <c r="BC24" s="229">
        <f>IF(AZ24=3,G24,0)</f>
        <v>0</v>
      </c>
      <c r="BD24" s="229">
        <f>IF(AZ24=4,G24,0)</f>
        <v>0</v>
      </c>
      <c r="BE24" s="229">
        <f>IF(AZ24=5,G24,0)</f>
        <v>0</v>
      </c>
      <c r="CZ24" s="229">
        <v>0</v>
      </c>
    </row>
    <row r="25" spans="1:104" ht="12.75" customHeight="1" x14ac:dyDescent="0.2">
      <c r="A25" s="244"/>
      <c r="B25" s="245"/>
      <c r="C25" s="521" t="s">
        <v>193</v>
      </c>
      <c r="D25" s="521"/>
      <c r="E25" s="275">
        <v>9</v>
      </c>
      <c r="F25" s="276"/>
      <c r="G25" s="268"/>
      <c r="M25" s="235" t="s">
        <v>193</v>
      </c>
      <c r="O25" s="235"/>
    </row>
    <row r="26" spans="1:104" ht="15" x14ac:dyDescent="0.25">
      <c r="A26" s="236">
        <v>12</v>
      </c>
      <c r="B26" s="237" t="s">
        <v>194</v>
      </c>
      <c r="C26" s="238" t="s">
        <v>195</v>
      </c>
      <c r="D26" s="239" t="s">
        <v>25</v>
      </c>
      <c r="E26" s="273">
        <v>9</v>
      </c>
      <c r="F26" s="273"/>
      <c r="G26" s="265">
        <f>E26*F26</f>
        <v>0</v>
      </c>
      <c r="O26" s="235">
        <v>2</v>
      </c>
      <c r="AA26" s="229">
        <v>12</v>
      </c>
      <c r="AB26" s="229">
        <v>1</v>
      </c>
      <c r="AC26" s="229">
        <v>12</v>
      </c>
      <c r="AZ26" s="229">
        <v>3</v>
      </c>
      <c r="BA26" s="229">
        <f>IF(AZ26=1,G26,0)</f>
        <v>0</v>
      </c>
      <c r="BB26" s="229">
        <f>IF(AZ26=2,G26,0)</f>
        <v>0</v>
      </c>
      <c r="BC26" s="229">
        <f>IF(AZ26=3,G26,0)</f>
        <v>0</v>
      </c>
      <c r="BD26" s="229">
        <f>IF(AZ26=4,G26,0)</f>
        <v>0</v>
      </c>
      <c r="BE26" s="229">
        <f>IF(AZ26=5,G26,0)</f>
        <v>0</v>
      </c>
      <c r="CZ26" s="229">
        <v>1E-3</v>
      </c>
    </row>
    <row r="27" spans="1:104" ht="15" x14ac:dyDescent="0.25">
      <c r="A27" s="236">
        <v>13</v>
      </c>
      <c r="B27" s="237" t="s">
        <v>191</v>
      </c>
      <c r="C27" s="238" t="s">
        <v>192</v>
      </c>
      <c r="D27" s="239" t="s">
        <v>25</v>
      </c>
      <c r="E27" s="273">
        <v>174</v>
      </c>
      <c r="F27" s="273"/>
      <c r="G27" s="265">
        <f>E27*F27</f>
        <v>0</v>
      </c>
      <c r="O27" s="235">
        <v>2</v>
      </c>
      <c r="AA27" s="229">
        <v>12</v>
      </c>
      <c r="AB27" s="229">
        <v>0</v>
      </c>
      <c r="AC27" s="229">
        <v>13</v>
      </c>
      <c r="AZ27" s="229">
        <v>4</v>
      </c>
      <c r="BA27" s="229">
        <f>IF(AZ27=1,G27,0)</f>
        <v>0</v>
      </c>
      <c r="BB27" s="229">
        <f>IF(AZ27=2,G27,0)</f>
        <v>0</v>
      </c>
      <c r="BC27" s="229">
        <f>IF(AZ27=3,G27,0)</f>
        <v>0</v>
      </c>
      <c r="BD27" s="229">
        <f>IF(AZ27=4,G27,0)</f>
        <v>0</v>
      </c>
      <c r="BE27" s="229">
        <f>IF(AZ27=5,G27,0)</f>
        <v>0</v>
      </c>
      <c r="CZ27" s="229">
        <v>0</v>
      </c>
    </row>
    <row r="28" spans="1:104" ht="12.75" customHeight="1" x14ac:dyDescent="0.2">
      <c r="A28" s="244"/>
      <c r="B28" s="245"/>
      <c r="C28" s="521" t="s">
        <v>196</v>
      </c>
      <c r="D28" s="521"/>
      <c r="E28" s="275">
        <v>174</v>
      </c>
      <c r="F28" s="276"/>
      <c r="G28" s="268"/>
      <c r="M28" s="235" t="s">
        <v>196</v>
      </c>
      <c r="O28" s="235"/>
    </row>
    <row r="29" spans="1:104" ht="15" x14ac:dyDescent="0.25">
      <c r="A29" s="236">
        <v>14</v>
      </c>
      <c r="B29" s="237" t="s">
        <v>197</v>
      </c>
      <c r="C29" s="238" t="s">
        <v>198</v>
      </c>
      <c r="D29" s="239" t="s">
        <v>25</v>
      </c>
      <c r="E29" s="273">
        <v>174</v>
      </c>
      <c r="F29" s="273"/>
      <c r="G29" s="265">
        <f>E29*F29</f>
        <v>0</v>
      </c>
      <c r="O29" s="235">
        <v>2</v>
      </c>
      <c r="AA29" s="229">
        <v>12</v>
      </c>
      <c r="AB29" s="229">
        <v>1</v>
      </c>
      <c r="AC29" s="229">
        <v>14</v>
      </c>
      <c r="AZ29" s="229">
        <v>3</v>
      </c>
      <c r="BA29" s="229">
        <f>IF(AZ29=1,G29,0)</f>
        <v>0</v>
      </c>
      <c r="BB29" s="229">
        <f>IF(AZ29=2,G29,0)</f>
        <v>0</v>
      </c>
      <c r="BC29" s="229">
        <f>IF(AZ29=3,G29,0)</f>
        <v>0</v>
      </c>
      <c r="BD29" s="229">
        <f>IF(AZ29=4,G29,0)</f>
        <v>0</v>
      </c>
      <c r="BE29" s="229">
        <f>IF(AZ29=5,G29,0)</f>
        <v>0</v>
      </c>
      <c r="CZ29" s="229">
        <v>1E-3</v>
      </c>
    </row>
    <row r="30" spans="1:104" ht="15" x14ac:dyDescent="0.25">
      <c r="A30" s="236">
        <v>15</v>
      </c>
      <c r="B30" s="237" t="s">
        <v>199</v>
      </c>
      <c r="C30" s="238" t="s">
        <v>200</v>
      </c>
      <c r="D30" s="239" t="s">
        <v>168</v>
      </c>
      <c r="E30" s="273">
        <v>10</v>
      </c>
      <c r="F30" s="273"/>
      <c r="G30" s="265">
        <f>E30*F30</f>
        <v>0</v>
      </c>
      <c r="O30" s="235">
        <v>2</v>
      </c>
      <c r="AA30" s="229">
        <v>12</v>
      </c>
      <c r="AB30" s="229">
        <v>0</v>
      </c>
      <c r="AC30" s="229">
        <v>15</v>
      </c>
      <c r="AZ30" s="229">
        <v>4</v>
      </c>
      <c r="BA30" s="229">
        <f>IF(AZ30=1,G30,0)</f>
        <v>0</v>
      </c>
      <c r="BB30" s="229">
        <f>IF(AZ30=2,G30,0)</f>
        <v>0</v>
      </c>
      <c r="BC30" s="229">
        <f>IF(AZ30=3,G30,0)</f>
        <v>0</v>
      </c>
      <c r="BD30" s="229">
        <f>IF(AZ30=4,G30,0)</f>
        <v>0</v>
      </c>
      <c r="BE30" s="229">
        <f>IF(AZ30=5,G30,0)</f>
        <v>0</v>
      </c>
      <c r="CZ30" s="229">
        <v>0</v>
      </c>
    </row>
    <row r="31" spans="1:104" ht="12.75" customHeight="1" x14ac:dyDescent="0.2">
      <c r="A31" s="244"/>
      <c r="B31" s="245"/>
      <c r="C31" s="521" t="s">
        <v>201</v>
      </c>
      <c r="D31" s="521"/>
      <c r="E31" s="275">
        <v>10</v>
      </c>
      <c r="F31" s="276"/>
      <c r="G31" s="268"/>
      <c r="M31" s="235" t="s">
        <v>201</v>
      </c>
      <c r="O31" s="235"/>
    </row>
    <row r="32" spans="1:104" ht="15" x14ac:dyDescent="0.25">
      <c r="A32" s="236">
        <v>16</v>
      </c>
      <c r="B32" s="237" t="s">
        <v>202</v>
      </c>
      <c r="C32" s="238" t="s">
        <v>203</v>
      </c>
      <c r="D32" s="239" t="s">
        <v>168</v>
      </c>
      <c r="E32" s="273">
        <v>10</v>
      </c>
      <c r="F32" s="273"/>
      <c r="G32" s="265">
        <f>E32*F32</f>
        <v>0</v>
      </c>
      <c r="O32" s="235">
        <v>2</v>
      </c>
      <c r="AA32" s="229">
        <v>12</v>
      </c>
      <c r="AB32" s="229">
        <v>1</v>
      </c>
      <c r="AC32" s="229">
        <v>16</v>
      </c>
      <c r="AZ32" s="229">
        <v>3</v>
      </c>
      <c r="BA32" s="229">
        <f>IF(AZ32=1,G32,0)</f>
        <v>0</v>
      </c>
      <c r="BB32" s="229">
        <f>IF(AZ32=2,G32,0)</f>
        <v>0</v>
      </c>
      <c r="BC32" s="229">
        <f>IF(AZ32=3,G32,0)</f>
        <v>0</v>
      </c>
      <c r="BD32" s="229">
        <f>IF(AZ32=4,G32,0)</f>
        <v>0</v>
      </c>
      <c r="BE32" s="229">
        <f>IF(AZ32=5,G32,0)</f>
        <v>0</v>
      </c>
      <c r="CZ32" s="229">
        <v>2.9999999999999997E-4</v>
      </c>
    </row>
    <row r="33" spans="1:104" ht="15" x14ac:dyDescent="0.25">
      <c r="A33" s="236">
        <v>17</v>
      </c>
      <c r="B33" s="237" t="s">
        <v>199</v>
      </c>
      <c r="C33" s="238" t="s">
        <v>200</v>
      </c>
      <c r="D33" s="239" t="s">
        <v>168</v>
      </c>
      <c r="E33" s="273">
        <v>3</v>
      </c>
      <c r="F33" s="273"/>
      <c r="G33" s="265">
        <f>E33*F33</f>
        <v>0</v>
      </c>
      <c r="O33" s="235">
        <v>2</v>
      </c>
      <c r="AA33" s="229">
        <v>12</v>
      </c>
      <c r="AB33" s="229">
        <v>0</v>
      </c>
      <c r="AC33" s="229">
        <v>17</v>
      </c>
      <c r="AZ33" s="229">
        <v>4</v>
      </c>
      <c r="BA33" s="229">
        <f>IF(AZ33=1,G33,0)</f>
        <v>0</v>
      </c>
      <c r="BB33" s="229">
        <f>IF(AZ33=2,G33,0)</f>
        <v>0</v>
      </c>
      <c r="BC33" s="229">
        <f>IF(AZ33=3,G33,0)</f>
        <v>0</v>
      </c>
      <c r="BD33" s="229">
        <f>IF(AZ33=4,G33,0)</f>
        <v>0</v>
      </c>
      <c r="BE33" s="229">
        <f>IF(AZ33=5,G33,0)</f>
        <v>0</v>
      </c>
      <c r="CZ33" s="229">
        <v>0</v>
      </c>
    </row>
    <row r="34" spans="1:104" ht="12.75" customHeight="1" x14ac:dyDescent="0.2">
      <c r="A34" s="244"/>
      <c r="B34" s="245"/>
      <c r="C34" s="521" t="s">
        <v>172</v>
      </c>
      <c r="D34" s="521"/>
      <c r="E34" s="275">
        <v>3</v>
      </c>
      <c r="F34" s="276"/>
      <c r="G34" s="268"/>
      <c r="M34" s="235" t="s">
        <v>172</v>
      </c>
      <c r="O34" s="235"/>
    </row>
    <row r="35" spans="1:104" ht="15" x14ac:dyDescent="0.25">
      <c r="A35" s="236">
        <v>18</v>
      </c>
      <c r="B35" s="237" t="s">
        <v>204</v>
      </c>
      <c r="C35" s="238" t="s">
        <v>205</v>
      </c>
      <c r="D35" s="239" t="s">
        <v>168</v>
      </c>
      <c r="E35" s="273">
        <v>3</v>
      </c>
      <c r="F35" s="273"/>
      <c r="G35" s="265">
        <f>E35*F35</f>
        <v>0</v>
      </c>
      <c r="O35" s="235">
        <v>2</v>
      </c>
      <c r="AA35" s="229">
        <v>12</v>
      </c>
      <c r="AB35" s="229">
        <v>1</v>
      </c>
      <c r="AC35" s="229">
        <v>18</v>
      </c>
      <c r="AZ35" s="229">
        <v>3</v>
      </c>
      <c r="BA35" s="229">
        <f>IF(AZ35=1,G35,0)</f>
        <v>0</v>
      </c>
      <c r="BB35" s="229">
        <f>IF(AZ35=2,G35,0)</f>
        <v>0</v>
      </c>
      <c r="BC35" s="229">
        <f>IF(AZ35=3,G35,0)</f>
        <v>0</v>
      </c>
      <c r="BD35" s="229">
        <f>IF(AZ35=4,G35,0)</f>
        <v>0</v>
      </c>
      <c r="BE35" s="229">
        <f>IF(AZ35=5,G35,0)</f>
        <v>0</v>
      </c>
      <c r="CZ35" s="229">
        <v>1.2999999999999999E-4</v>
      </c>
    </row>
    <row r="36" spans="1:104" ht="15" x14ac:dyDescent="0.25">
      <c r="A36" s="236">
        <v>19</v>
      </c>
      <c r="B36" s="237" t="s">
        <v>206</v>
      </c>
      <c r="C36" s="238" t="s">
        <v>207</v>
      </c>
      <c r="D36" s="239" t="s">
        <v>168</v>
      </c>
      <c r="E36" s="273">
        <v>2</v>
      </c>
      <c r="F36" s="273"/>
      <c r="G36" s="265">
        <f>E36*F36</f>
        <v>0</v>
      </c>
      <c r="O36" s="235">
        <v>2</v>
      </c>
      <c r="AA36" s="229">
        <v>12</v>
      </c>
      <c r="AB36" s="229">
        <v>0</v>
      </c>
      <c r="AC36" s="229">
        <v>19</v>
      </c>
      <c r="AZ36" s="229">
        <v>4</v>
      </c>
      <c r="BA36" s="229">
        <f>IF(AZ36=1,G36,0)</f>
        <v>0</v>
      </c>
      <c r="BB36" s="229">
        <f>IF(AZ36=2,G36,0)</f>
        <v>0</v>
      </c>
      <c r="BC36" s="229">
        <f>IF(AZ36=3,G36,0)</f>
        <v>0</v>
      </c>
      <c r="BD36" s="229">
        <f>IF(AZ36=4,G36,0)</f>
        <v>0</v>
      </c>
      <c r="BE36" s="229">
        <f>IF(AZ36=5,G36,0)</f>
        <v>0</v>
      </c>
      <c r="CZ36" s="229">
        <v>0</v>
      </c>
    </row>
    <row r="37" spans="1:104" ht="15" x14ac:dyDescent="0.25">
      <c r="A37" s="236">
        <v>20</v>
      </c>
      <c r="B37" s="237" t="s">
        <v>208</v>
      </c>
      <c r="C37" s="238" t="s">
        <v>209</v>
      </c>
      <c r="D37" s="239" t="s">
        <v>25</v>
      </c>
      <c r="E37" s="273">
        <v>3</v>
      </c>
      <c r="F37" s="273"/>
      <c r="G37" s="265">
        <f>E37*F37</f>
        <v>0</v>
      </c>
      <c r="O37" s="235">
        <v>2</v>
      </c>
      <c r="AA37" s="229">
        <v>12</v>
      </c>
      <c r="AB37" s="229">
        <v>0</v>
      </c>
      <c r="AC37" s="229">
        <v>20</v>
      </c>
      <c r="AZ37" s="229">
        <v>4</v>
      </c>
      <c r="BA37" s="229">
        <f>IF(AZ37=1,G37,0)</f>
        <v>0</v>
      </c>
      <c r="BB37" s="229">
        <f>IF(AZ37=2,G37,0)</f>
        <v>0</v>
      </c>
      <c r="BC37" s="229">
        <f>IF(AZ37=3,G37,0)</f>
        <v>0</v>
      </c>
      <c r="BD37" s="229">
        <f>IF(AZ37=4,G37,0)</f>
        <v>0</v>
      </c>
      <c r="BE37" s="229">
        <f>IF(AZ37=5,G37,0)</f>
        <v>0</v>
      </c>
      <c r="CZ37" s="229">
        <v>0</v>
      </c>
    </row>
    <row r="38" spans="1:104" ht="12.75" customHeight="1" x14ac:dyDescent="0.2">
      <c r="A38" s="244"/>
      <c r="B38" s="245"/>
      <c r="C38" s="521" t="s">
        <v>172</v>
      </c>
      <c r="D38" s="521"/>
      <c r="E38" s="275">
        <v>3</v>
      </c>
      <c r="F38" s="276"/>
      <c r="G38" s="268"/>
      <c r="M38" s="235" t="s">
        <v>172</v>
      </c>
      <c r="O38" s="235"/>
    </row>
    <row r="39" spans="1:104" ht="15" x14ac:dyDescent="0.25">
      <c r="A39" s="236">
        <v>21</v>
      </c>
      <c r="B39" s="237" t="s">
        <v>210</v>
      </c>
      <c r="C39" s="238" t="s">
        <v>211</v>
      </c>
      <c r="D39" s="239" t="s">
        <v>25</v>
      </c>
      <c r="E39" s="273">
        <v>3</v>
      </c>
      <c r="F39" s="273"/>
      <c r="G39" s="265">
        <f>E39*F39</f>
        <v>0</v>
      </c>
      <c r="O39" s="235">
        <v>2</v>
      </c>
      <c r="AA39" s="229">
        <v>12</v>
      </c>
      <c r="AB39" s="229">
        <v>1</v>
      </c>
      <c r="AC39" s="229">
        <v>21</v>
      </c>
      <c r="AZ39" s="229">
        <v>3</v>
      </c>
      <c r="BA39" s="229">
        <f>IF(AZ39=1,G39,0)</f>
        <v>0</v>
      </c>
      <c r="BB39" s="229">
        <f>IF(AZ39=2,G39,0)</f>
        <v>0</v>
      </c>
      <c r="BC39" s="229">
        <f>IF(AZ39=3,G39,0)</f>
        <v>0</v>
      </c>
      <c r="BD39" s="229">
        <f>IF(AZ39=4,G39,0)</f>
        <v>0</v>
      </c>
      <c r="BE39" s="229">
        <f>IF(AZ39=5,G39,0)</f>
        <v>0</v>
      </c>
      <c r="CZ39" s="229">
        <v>1.6000000000000001E-4</v>
      </c>
    </row>
    <row r="40" spans="1:104" ht="15" x14ac:dyDescent="0.25">
      <c r="A40" s="236">
        <v>22</v>
      </c>
      <c r="B40" s="439" t="s">
        <v>212</v>
      </c>
      <c r="C40" s="238" t="s">
        <v>213</v>
      </c>
      <c r="D40" s="239" t="s">
        <v>25</v>
      </c>
      <c r="E40" s="273">
        <v>205</v>
      </c>
      <c r="F40" s="273"/>
      <c r="G40" s="265">
        <f>E40*F40</f>
        <v>0</v>
      </c>
      <c r="O40" s="235">
        <v>2</v>
      </c>
      <c r="AA40" s="229">
        <v>12</v>
      </c>
      <c r="AB40" s="229">
        <v>0</v>
      </c>
      <c r="AC40" s="229">
        <v>22</v>
      </c>
      <c r="AZ40" s="229">
        <v>4</v>
      </c>
      <c r="BA40" s="229">
        <f>IF(AZ40=1,G40,0)</f>
        <v>0</v>
      </c>
      <c r="BB40" s="229">
        <f>IF(AZ40=2,G40,0)</f>
        <v>0</v>
      </c>
      <c r="BC40" s="229">
        <f>IF(AZ40=3,G40,0)</f>
        <v>0</v>
      </c>
      <c r="BD40" s="229">
        <f>IF(AZ40=4,G40,0)</f>
        <v>0</v>
      </c>
      <c r="BE40" s="229">
        <f>IF(AZ40=5,G40,0)</f>
        <v>0</v>
      </c>
      <c r="CZ40" s="229">
        <v>0</v>
      </c>
    </row>
    <row r="41" spans="1:104" ht="12.75" customHeight="1" x14ac:dyDescent="0.2">
      <c r="A41" s="244"/>
      <c r="B41" s="245"/>
      <c r="C41" s="521" t="s">
        <v>214</v>
      </c>
      <c r="D41" s="521"/>
      <c r="E41" s="275">
        <v>205</v>
      </c>
      <c r="F41" s="276"/>
      <c r="G41" s="268"/>
      <c r="M41" s="235" t="s">
        <v>214</v>
      </c>
      <c r="O41" s="235"/>
    </row>
    <row r="42" spans="1:104" ht="15" x14ac:dyDescent="0.25">
      <c r="A42" s="236">
        <v>23</v>
      </c>
      <c r="B42" s="237" t="s">
        <v>215</v>
      </c>
      <c r="C42" s="238" t="s">
        <v>216</v>
      </c>
      <c r="D42" s="239" t="s">
        <v>25</v>
      </c>
      <c r="E42" s="273">
        <v>205</v>
      </c>
      <c r="F42" s="273"/>
      <c r="G42" s="265">
        <f>E42*F42</f>
        <v>0</v>
      </c>
      <c r="O42" s="235">
        <v>2</v>
      </c>
      <c r="AA42" s="229">
        <v>12</v>
      </c>
      <c r="AB42" s="229">
        <v>1</v>
      </c>
      <c r="AC42" s="229">
        <v>23</v>
      </c>
      <c r="AZ42" s="229">
        <v>3</v>
      </c>
      <c r="BA42" s="229">
        <f>IF(AZ42=1,G42,0)</f>
        <v>0</v>
      </c>
      <c r="BB42" s="229">
        <f>IF(AZ42=2,G42,0)</f>
        <v>0</v>
      </c>
      <c r="BC42" s="229">
        <f>IF(AZ42=3,G42,0)</f>
        <v>0</v>
      </c>
      <c r="BD42" s="229">
        <f>IF(AZ42=4,G42,0)</f>
        <v>0</v>
      </c>
      <c r="BE42" s="229">
        <f>IF(AZ42=5,G42,0)</f>
        <v>0</v>
      </c>
      <c r="CZ42" s="229">
        <v>6.0999999999999997E-4</v>
      </c>
    </row>
    <row r="43" spans="1:104" ht="15" x14ac:dyDescent="0.25">
      <c r="A43" s="236">
        <v>24</v>
      </c>
      <c r="B43" s="237" t="s">
        <v>217</v>
      </c>
      <c r="C43" s="238" t="s">
        <v>218</v>
      </c>
      <c r="D43" s="239" t="s">
        <v>168</v>
      </c>
      <c r="E43" s="273">
        <v>8</v>
      </c>
      <c r="F43" s="273"/>
      <c r="G43" s="265">
        <f>E43*F43</f>
        <v>0</v>
      </c>
      <c r="O43" s="235">
        <v>2</v>
      </c>
      <c r="AA43" s="229">
        <v>12</v>
      </c>
      <c r="AB43" s="229">
        <v>0</v>
      </c>
      <c r="AC43" s="229">
        <v>24</v>
      </c>
      <c r="AZ43" s="229">
        <v>4</v>
      </c>
      <c r="BA43" s="229">
        <f>IF(AZ43=1,G43,0)</f>
        <v>0</v>
      </c>
      <c r="BB43" s="229">
        <f>IF(AZ43=2,G43,0)</f>
        <v>0</v>
      </c>
      <c r="BC43" s="229">
        <f>IF(AZ43=3,G43,0)</f>
        <v>0</v>
      </c>
      <c r="BD43" s="229">
        <f>IF(AZ43=4,G43,0)</f>
        <v>0</v>
      </c>
      <c r="BE43" s="229">
        <f>IF(AZ43=5,G43,0)</f>
        <v>0</v>
      </c>
      <c r="CZ43" s="229">
        <v>1.0000000000000001E-5</v>
      </c>
    </row>
    <row r="44" spans="1:104" ht="12.75" customHeight="1" x14ac:dyDescent="0.2">
      <c r="A44" s="244"/>
      <c r="B44" s="245"/>
      <c r="C44" s="521" t="s">
        <v>219</v>
      </c>
      <c r="D44" s="521"/>
      <c r="E44" s="275">
        <v>8</v>
      </c>
      <c r="F44" s="276"/>
      <c r="G44" s="268"/>
      <c r="M44" s="235" t="s">
        <v>219</v>
      </c>
      <c r="O44" s="235"/>
    </row>
    <row r="45" spans="1:104" ht="15" x14ac:dyDescent="0.25">
      <c r="A45" s="236">
        <v>25</v>
      </c>
      <c r="B45" s="237" t="s">
        <v>220</v>
      </c>
      <c r="C45" s="238" t="s">
        <v>221</v>
      </c>
      <c r="D45" s="239" t="s">
        <v>222</v>
      </c>
      <c r="E45" s="273">
        <v>0.03</v>
      </c>
      <c r="F45" s="273"/>
      <c r="G45" s="265">
        <f>E45*F45</f>
        <v>0</v>
      </c>
      <c r="O45" s="235">
        <v>2</v>
      </c>
      <c r="AA45" s="229">
        <v>12</v>
      </c>
      <c r="AB45" s="229">
        <v>0</v>
      </c>
      <c r="AC45" s="229">
        <v>25</v>
      </c>
      <c r="AZ45" s="229">
        <v>4</v>
      </c>
      <c r="BA45" s="229">
        <f>IF(AZ45=1,G45,0)</f>
        <v>0</v>
      </c>
      <c r="BB45" s="229">
        <f>IF(AZ45=2,G45,0)</f>
        <v>0</v>
      </c>
      <c r="BC45" s="229">
        <f>IF(AZ45=3,G45,0)</f>
        <v>0</v>
      </c>
      <c r="BD45" s="229">
        <f>IF(AZ45=4,G45,0)</f>
        <v>0</v>
      </c>
      <c r="BE45" s="229">
        <f>IF(AZ45=5,G45,0)</f>
        <v>0</v>
      </c>
      <c r="CZ45" s="229">
        <v>0</v>
      </c>
    </row>
    <row r="46" spans="1:104" ht="15" x14ac:dyDescent="0.25">
      <c r="A46" s="236">
        <v>26</v>
      </c>
      <c r="B46" s="237" t="s">
        <v>223</v>
      </c>
      <c r="C46" s="238" t="s">
        <v>224</v>
      </c>
      <c r="D46" s="239" t="s">
        <v>222</v>
      </c>
      <c r="E46" s="273">
        <v>0.05</v>
      </c>
      <c r="F46" s="273"/>
      <c r="G46" s="265">
        <f>E46*F46</f>
        <v>0</v>
      </c>
      <c r="O46" s="235">
        <v>2</v>
      </c>
      <c r="AA46" s="229">
        <v>12</v>
      </c>
      <c r="AB46" s="229">
        <v>0</v>
      </c>
      <c r="AC46" s="229">
        <v>26</v>
      </c>
      <c r="AZ46" s="229">
        <v>4</v>
      </c>
      <c r="BA46" s="229">
        <f>IF(AZ46=1,G46,0)</f>
        <v>0</v>
      </c>
      <c r="BB46" s="229">
        <f>IF(AZ46=2,G46,0)</f>
        <v>0</v>
      </c>
      <c r="BC46" s="229">
        <f>IF(AZ46=3,G46,0)</f>
        <v>0</v>
      </c>
      <c r="BD46" s="229">
        <f>IF(AZ46=4,G46,0)</f>
        <v>0</v>
      </c>
      <c r="BE46" s="229">
        <f>IF(AZ46=5,G46,0)</f>
        <v>0</v>
      </c>
      <c r="CZ46" s="229">
        <v>0</v>
      </c>
    </row>
    <row r="47" spans="1:104" ht="15" x14ac:dyDescent="0.25">
      <c r="A47" s="236">
        <v>27</v>
      </c>
      <c r="B47" s="237" t="s">
        <v>225</v>
      </c>
      <c r="C47" s="238" t="s">
        <v>226</v>
      </c>
      <c r="D47" s="239" t="s">
        <v>222</v>
      </c>
      <c r="E47" s="273">
        <v>0.01</v>
      </c>
      <c r="F47" s="273"/>
      <c r="G47" s="265">
        <f>E47*F47</f>
        <v>0</v>
      </c>
      <c r="O47" s="235">
        <v>2</v>
      </c>
      <c r="AA47" s="229">
        <v>12</v>
      </c>
      <c r="AB47" s="229">
        <v>0</v>
      </c>
      <c r="AC47" s="229">
        <v>27</v>
      </c>
      <c r="AZ47" s="229">
        <v>4</v>
      </c>
      <c r="BA47" s="229">
        <f>IF(AZ47=1,G47,0)</f>
        <v>0</v>
      </c>
      <c r="BB47" s="229">
        <f>IF(AZ47=2,G47,0)</f>
        <v>0</v>
      </c>
      <c r="BC47" s="229">
        <f>IF(AZ47=3,G47,0)</f>
        <v>0</v>
      </c>
      <c r="BD47" s="229">
        <f>IF(AZ47=4,G47,0)</f>
        <v>0</v>
      </c>
      <c r="BE47" s="229">
        <f>IF(AZ47=5,G47,0)</f>
        <v>0</v>
      </c>
      <c r="CZ47" s="229">
        <v>0</v>
      </c>
    </row>
    <row r="48" spans="1:104" x14ac:dyDescent="0.2">
      <c r="A48" s="240"/>
      <c r="B48" s="241" t="s">
        <v>163</v>
      </c>
      <c r="C48" s="242" t="str">
        <f>CONCATENATE(B8," ",C8)</f>
        <v>M21 Kabelové rozvody NN</v>
      </c>
      <c r="D48" s="240"/>
      <c r="E48" s="274"/>
      <c r="F48" s="274"/>
      <c r="G48" s="266">
        <f>SUM(G8:G47)</f>
        <v>0</v>
      </c>
      <c r="O48" s="235">
        <v>4</v>
      </c>
      <c r="BA48" s="243">
        <f>SUM(BA8:BA47)</f>
        <v>0</v>
      </c>
      <c r="BB48" s="243">
        <f>SUM(BB8:BB47)</f>
        <v>0</v>
      </c>
      <c r="BC48" s="243">
        <f>SUM(BC8:BC47)</f>
        <v>0</v>
      </c>
      <c r="BD48" s="243">
        <f>SUM(BD8:BD47)</f>
        <v>0</v>
      </c>
      <c r="BE48" s="243">
        <f>SUM(BE8:BE47)</f>
        <v>0</v>
      </c>
    </row>
    <row r="49" spans="1:104" x14ac:dyDescent="0.2">
      <c r="A49" s="230" t="s">
        <v>159</v>
      </c>
      <c r="B49" s="231" t="s">
        <v>227</v>
      </c>
      <c r="C49" s="232" t="s">
        <v>228</v>
      </c>
      <c r="D49" s="233"/>
      <c r="E49" s="233"/>
      <c r="F49" s="233"/>
      <c r="G49" s="267"/>
      <c r="O49" s="235">
        <v>1</v>
      </c>
    </row>
    <row r="50" spans="1:104" ht="23.25" x14ac:dyDescent="0.25">
      <c r="A50" s="236">
        <v>28</v>
      </c>
      <c r="B50" s="237" t="s">
        <v>229</v>
      </c>
      <c r="C50" s="238" t="s">
        <v>230</v>
      </c>
      <c r="D50" s="239" t="s">
        <v>231</v>
      </c>
      <c r="E50" s="273">
        <v>0.16900000000000001</v>
      </c>
      <c r="F50" s="273"/>
      <c r="G50" s="265">
        <f>E50*F50</f>
        <v>0</v>
      </c>
      <c r="O50" s="235">
        <v>2</v>
      </c>
      <c r="AA50" s="229">
        <v>12</v>
      </c>
      <c r="AB50" s="229">
        <v>0</v>
      </c>
      <c r="AC50" s="229">
        <v>28</v>
      </c>
      <c r="AZ50" s="229">
        <v>4</v>
      </c>
      <c r="BA50" s="229">
        <f>IF(AZ50=1,G50,0)</f>
        <v>0</v>
      </c>
      <c r="BB50" s="229">
        <f>IF(AZ50=2,G50,0)</f>
        <v>0</v>
      </c>
      <c r="BC50" s="229">
        <f>IF(AZ50=3,G50,0)</f>
        <v>0</v>
      </c>
      <c r="BD50" s="229">
        <f>IF(AZ50=4,G50,0)</f>
        <v>0</v>
      </c>
      <c r="BE50" s="229">
        <f>IF(AZ50=5,G50,0)</f>
        <v>0</v>
      </c>
      <c r="CZ50" s="229">
        <v>1.124E-2</v>
      </c>
    </row>
    <row r="51" spans="1:104" ht="12.75" customHeight="1" x14ac:dyDescent="0.2">
      <c r="A51" s="244"/>
      <c r="B51" s="245"/>
      <c r="C51" s="521" t="s">
        <v>232</v>
      </c>
      <c r="D51" s="521"/>
      <c r="E51" s="275">
        <v>0.16900000000000001</v>
      </c>
      <c r="F51" s="276"/>
      <c r="G51" s="268"/>
      <c r="M51" s="235" t="s">
        <v>232</v>
      </c>
      <c r="O51" s="235"/>
    </row>
    <row r="52" spans="1:104" ht="23.25" x14ac:dyDescent="0.25">
      <c r="A52" s="236">
        <v>29</v>
      </c>
      <c r="B52" s="237" t="s">
        <v>233</v>
      </c>
      <c r="C52" s="238" t="s">
        <v>234</v>
      </c>
      <c r="D52" s="239" t="s">
        <v>25</v>
      </c>
      <c r="E52" s="273">
        <v>169</v>
      </c>
      <c r="F52" s="273"/>
      <c r="G52" s="265">
        <f>E52*F52</f>
        <v>0</v>
      </c>
      <c r="O52" s="235">
        <v>2</v>
      </c>
      <c r="AA52" s="229">
        <v>12</v>
      </c>
      <c r="AB52" s="229">
        <v>0</v>
      </c>
      <c r="AC52" s="229">
        <v>29</v>
      </c>
      <c r="AZ52" s="229">
        <v>4</v>
      </c>
      <c r="BA52" s="229">
        <f>IF(AZ52=1,G52,0)</f>
        <v>0</v>
      </c>
      <c r="BB52" s="229">
        <f>IF(AZ52=2,G52,0)</f>
        <v>0</v>
      </c>
      <c r="BC52" s="229">
        <f>IF(AZ52=3,G52,0)</f>
        <v>0</v>
      </c>
      <c r="BD52" s="229">
        <f>IF(AZ52=4,G52,0)</f>
        <v>0</v>
      </c>
      <c r="BE52" s="229">
        <f>IF(AZ52=5,G52,0)</f>
        <v>0</v>
      </c>
      <c r="CZ52" s="229">
        <v>0</v>
      </c>
    </row>
    <row r="53" spans="1:104" ht="12.75" customHeight="1" x14ac:dyDescent="0.2">
      <c r="A53" s="244"/>
      <c r="B53" s="245"/>
      <c r="C53" s="521" t="s">
        <v>235</v>
      </c>
      <c r="D53" s="521"/>
      <c r="E53" s="275">
        <v>169</v>
      </c>
      <c r="F53" s="276"/>
      <c r="G53" s="268"/>
      <c r="M53" s="235" t="s">
        <v>235</v>
      </c>
      <c r="O53" s="235"/>
    </row>
    <row r="54" spans="1:104" ht="12.75" customHeight="1" x14ac:dyDescent="0.2">
      <c r="A54" s="244"/>
      <c r="B54" s="245"/>
      <c r="C54" s="246"/>
      <c r="D54" s="246"/>
      <c r="E54" s="275"/>
      <c r="F54" s="276"/>
      <c r="G54" s="268"/>
      <c r="M54" s="235"/>
      <c r="O54" s="235"/>
    </row>
    <row r="55" spans="1:104" ht="18.75" customHeight="1" x14ac:dyDescent="0.25">
      <c r="A55" s="236">
        <v>30</v>
      </c>
      <c r="B55" s="237" t="s">
        <v>236</v>
      </c>
      <c r="C55" s="238" t="s">
        <v>237</v>
      </c>
      <c r="D55" s="239" t="s">
        <v>25</v>
      </c>
      <c r="E55" s="273">
        <v>169</v>
      </c>
      <c r="F55" s="273"/>
      <c r="G55" s="265">
        <f>E55*F55</f>
        <v>0</v>
      </c>
      <c r="O55" s="235">
        <v>2</v>
      </c>
      <c r="AA55" s="229">
        <v>12</v>
      </c>
      <c r="AB55" s="229">
        <v>0</v>
      </c>
      <c r="AC55" s="229">
        <v>30</v>
      </c>
      <c r="AZ55" s="229">
        <v>4</v>
      </c>
      <c r="BA55" s="229">
        <f>IF(AZ55=1,G55,0)</f>
        <v>0</v>
      </c>
      <c r="BB55" s="229">
        <f>IF(AZ55=2,G55,0)</f>
        <v>0</v>
      </c>
      <c r="BC55" s="229">
        <f>IF(AZ55=3,G55,0)</f>
        <v>0</v>
      </c>
      <c r="BD55" s="229">
        <f>IF(AZ55=4,G55,0)</f>
        <v>0</v>
      </c>
      <c r="BE55" s="229">
        <f>IF(AZ55=5,G55,0)</f>
        <v>0</v>
      </c>
      <c r="CZ55" s="229">
        <v>0</v>
      </c>
    </row>
    <row r="56" spans="1:104" ht="12.75" customHeight="1" x14ac:dyDescent="0.2">
      <c r="A56" s="244"/>
      <c r="B56" s="245"/>
      <c r="C56" s="521" t="s">
        <v>235</v>
      </c>
      <c r="D56" s="521"/>
      <c r="E56" s="275">
        <v>169</v>
      </c>
      <c r="F56" s="276"/>
      <c r="G56" s="268"/>
      <c r="M56" s="235" t="s">
        <v>235</v>
      </c>
      <c r="O56" s="235"/>
    </row>
    <row r="57" spans="1:104" ht="23.25" x14ac:dyDescent="0.25">
      <c r="A57" s="236">
        <v>31</v>
      </c>
      <c r="B57" s="237" t="s">
        <v>238</v>
      </c>
      <c r="C57" s="238" t="s">
        <v>239</v>
      </c>
      <c r="D57" s="239" t="s">
        <v>31</v>
      </c>
      <c r="E57" s="273">
        <v>15.379</v>
      </c>
      <c r="F57" s="273"/>
      <c r="G57" s="265">
        <f>E57*F57</f>
        <v>0</v>
      </c>
      <c r="O57" s="235">
        <v>2</v>
      </c>
      <c r="AA57" s="229">
        <v>12</v>
      </c>
      <c r="AB57" s="229">
        <v>0</v>
      </c>
      <c r="AC57" s="229">
        <v>31</v>
      </c>
      <c r="AZ57" s="229">
        <v>4</v>
      </c>
      <c r="BA57" s="229">
        <f>IF(AZ57=1,G57,0)</f>
        <v>0</v>
      </c>
      <c r="BB57" s="229">
        <f>IF(AZ57=2,G57,0)</f>
        <v>0</v>
      </c>
      <c r="BC57" s="229">
        <f>IF(AZ57=3,G57,0)</f>
        <v>0</v>
      </c>
      <c r="BD57" s="229">
        <f>IF(AZ57=4,G57,0)</f>
        <v>0</v>
      </c>
      <c r="BE57" s="229">
        <f>IF(AZ57=5,G57,0)</f>
        <v>0</v>
      </c>
      <c r="CZ57" s="229">
        <v>0</v>
      </c>
    </row>
    <row r="58" spans="1:104" ht="12.75" customHeight="1" x14ac:dyDescent="0.2">
      <c r="A58" s="244"/>
      <c r="B58" s="245"/>
      <c r="C58" s="521" t="s">
        <v>240</v>
      </c>
      <c r="D58" s="521"/>
      <c r="E58" s="275">
        <v>15.379</v>
      </c>
      <c r="F58" s="276"/>
      <c r="G58" s="268"/>
      <c r="M58" s="235" t="s">
        <v>240</v>
      </c>
      <c r="O58" s="235"/>
    </row>
    <row r="59" spans="1:104" ht="23.25" x14ac:dyDescent="0.25">
      <c r="A59" s="236">
        <v>32</v>
      </c>
      <c r="B59" s="237" t="s">
        <v>241</v>
      </c>
      <c r="C59" s="238" t="s">
        <v>242</v>
      </c>
      <c r="D59" s="239" t="s">
        <v>31</v>
      </c>
      <c r="E59" s="273">
        <v>15.379</v>
      </c>
      <c r="F59" s="273"/>
      <c r="G59" s="265">
        <f>E59*F59</f>
        <v>0</v>
      </c>
      <c r="O59" s="235">
        <v>2</v>
      </c>
      <c r="AA59" s="229">
        <v>12</v>
      </c>
      <c r="AB59" s="229">
        <v>0</v>
      </c>
      <c r="AC59" s="229">
        <v>32</v>
      </c>
      <c r="AZ59" s="229">
        <v>4</v>
      </c>
      <c r="BA59" s="229">
        <f>IF(AZ59=1,G59,0)</f>
        <v>0</v>
      </c>
      <c r="BB59" s="229">
        <f>IF(AZ59=2,G59,0)</f>
        <v>0</v>
      </c>
      <c r="BC59" s="229">
        <f>IF(AZ59=3,G59,0)</f>
        <v>0</v>
      </c>
      <c r="BD59" s="229">
        <f>IF(AZ59=4,G59,0)</f>
        <v>0</v>
      </c>
      <c r="BE59" s="229">
        <f>IF(AZ59=5,G59,0)</f>
        <v>0</v>
      </c>
      <c r="CZ59" s="229">
        <v>0</v>
      </c>
    </row>
    <row r="60" spans="1:104" ht="15" x14ac:dyDescent="0.25">
      <c r="A60" s="236">
        <v>33</v>
      </c>
      <c r="B60" s="237" t="s">
        <v>243</v>
      </c>
      <c r="C60" s="238" t="s">
        <v>244</v>
      </c>
      <c r="D60" s="239" t="s">
        <v>25</v>
      </c>
      <c r="E60" s="273">
        <v>169</v>
      </c>
      <c r="F60" s="273"/>
      <c r="G60" s="265">
        <f>E60*F60</f>
        <v>0</v>
      </c>
      <c r="O60" s="235">
        <v>2</v>
      </c>
      <c r="AA60" s="229">
        <v>12</v>
      </c>
      <c r="AB60" s="229">
        <v>0</v>
      </c>
      <c r="AC60" s="229">
        <v>33</v>
      </c>
      <c r="AZ60" s="229">
        <v>4</v>
      </c>
      <c r="BA60" s="229">
        <f>IF(AZ60=1,G60,0)</f>
        <v>0</v>
      </c>
      <c r="BB60" s="229">
        <f>IF(AZ60=2,G60,0)</f>
        <v>0</v>
      </c>
      <c r="BC60" s="229">
        <f>IF(AZ60=3,G60,0)</f>
        <v>0</v>
      </c>
      <c r="BD60" s="229">
        <f>IF(AZ60=4,G60,0)</f>
        <v>0</v>
      </c>
      <c r="BE60" s="229">
        <f>IF(AZ60=5,G60,0)</f>
        <v>0</v>
      </c>
      <c r="CZ60" s="229">
        <v>0.13242999999999999</v>
      </c>
    </row>
    <row r="61" spans="1:104" ht="12.75" customHeight="1" x14ac:dyDescent="0.2">
      <c r="A61" s="244"/>
      <c r="B61" s="245"/>
      <c r="C61" s="521" t="s">
        <v>235</v>
      </c>
      <c r="D61" s="521"/>
      <c r="E61" s="275">
        <v>169</v>
      </c>
      <c r="F61" s="276"/>
      <c r="G61" s="268"/>
      <c r="M61" s="235" t="s">
        <v>235</v>
      </c>
      <c r="O61" s="235"/>
    </row>
    <row r="62" spans="1:104" ht="23.25" x14ac:dyDescent="0.25">
      <c r="A62" s="236">
        <v>34</v>
      </c>
      <c r="B62" s="237" t="s">
        <v>245</v>
      </c>
      <c r="C62" s="238" t="s">
        <v>246</v>
      </c>
      <c r="D62" s="239" t="s">
        <v>25</v>
      </c>
      <c r="E62" s="273">
        <v>169</v>
      </c>
      <c r="F62" s="273"/>
      <c r="G62" s="265">
        <f>E62*F62</f>
        <v>0</v>
      </c>
      <c r="O62" s="235">
        <v>2</v>
      </c>
      <c r="AA62" s="229">
        <v>12</v>
      </c>
      <c r="AB62" s="229">
        <v>0</v>
      </c>
      <c r="AC62" s="229">
        <v>34</v>
      </c>
      <c r="AZ62" s="229">
        <v>4</v>
      </c>
      <c r="BA62" s="229">
        <f>IF(AZ62=1,G62,0)</f>
        <v>0</v>
      </c>
      <c r="BB62" s="229">
        <f>IF(AZ62=2,G62,0)</f>
        <v>0</v>
      </c>
      <c r="BC62" s="229">
        <f>IF(AZ62=3,G62,0)</f>
        <v>0</v>
      </c>
      <c r="BD62" s="229">
        <f>IF(AZ62=4,G62,0)</f>
        <v>0</v>
      </c>
      <c r="BE62" s="229">
        <f>IF(AZ62=5,G62,0)</f>
        <v>0</v>
      </c>
      <c r="CZ62" s="229">
        <v>3.1E-4</v>
      </c>
    </row>
    <row r="63" spans="1:104" ht="12.75" customHeight="1" x14ac:dyDescent="0.2">
      <c r="A63" s="244"/>
      <c r="B63" s="245"/>
      <c r="C63" s="521" t="s">
        <v>235</v>
      </c>
      <c r="D63" s="521"/>
      <c r="E63" s="275">
        <v>169</v>
      </c>
      <c r="F63" s="276"/>
      <c r="G63" s="268"/>
      <c r="M63" s="235" t="s">
        <v>235</v>
      </c>
      <c r="O63" s="235"/>
    </row>
    <row r="64" spans="1:104" ht="23.25" x14ac:dyDescent="0.25">
      <c r="A64" s="236">
        <v>35</v>
      </c>
      <c r="B64" s="237" t="s">
        <v>247</v>
      </c>
      <c r="C64" s="238" t="s">
        <v>248</v>
      </c>
      <c r="D64" s="239" t="s">
        <v>25</v>
      </c>
      <c r="E64" s="273">
        <v>169</v>
      </c>
      <c r="F64" s="273"/>
      <c r="G64" s="265">
        <f>E64*F64</f>
        <v>0</v>
      </c>
      <c r="O64" s="235">
        <v>2</v>
      </c>
      <c r="AA64" s="229">
        <v>12</v>
      </c>
      <c r="AB64" s="229">
        <v>0</v>
      </c>
      <c r="AC64" s="229">
        <v>35</v>
      </c>
      <c r="AZ64" s="229">
        <v>4</v>
      </c>
      <c r="BA64" s="229">
        <f>IF(AZ64=1,G64,0)</f>
        <v>0</v>
      </c>
      <c r="BB64" s="229">
        <f>IF(AZ64=2,G64,0)</f>
        <v>0</v>
      </c>
      <c r="BC64" s="229">
        <f>IF(AZ64=3,G64,0)</f>
        <v>0</v>
      </c>
      <c r="BD64" s="229">
        <f>IF(AZ64=4,G64,0)</f>
        <v>0</v>
      </c>
      <c r="BE64" s="229">
        <f>IF(AZ64=5,G64,0)</f>
        <v>0</v>
      </c>
      <c r="CZ64" s="229">
        <v>4.8000000000000001E-4</v>
      </c>
    </row>
    <row r="65" spans="1:104" ht="12.75" customHeight="1" x14ac:dyDescent="0.2">
      <c r="A65" s="244"/>
      <c r="B65" s="245"/>
      <c r="C65" s="521" t="s">
        <v>235</v>
      </c>
      <c r="D65" s="521"/>
      <c r="E65" s="275">
        <v>169</v>
      </c>
      <c r="F65" s="276"/>
      <c r="G65" s="268"/>
      <c r="M65" s="235" t="s">
        <v>235</v>
      </c>
      <c r="O65" s="235"/>
    </row>
    <row r="66" spans="1:104" ht="23.25" x14ac:dyDescent="0.25">
      <c r="A66" s="236">
        <v>36</v>
      </c>
      <c r="B66" s="237" t="s">
        <v>249</v>
      </c>
      <c r="C66" s="238" t="s">
        <v>250</v>
      </c>
      <c r="D66" s="239" t="s">
        <v>25</v>
      </c>
      <c r="E66" s="273">
        <v>169</v>
      </c>
      <c r="F66" s="273"/>
      <c r="G66" s="265">
        <f>E66*F66</f>
        <v>0</v>
      </c>
      <c r="O66" s="235">
        <v>2</v>
      </c>
      <c r="AA66" s="229">
        <v>12</v>
      </c>
      <c r="AB66" s="229">
        <v>0</v>
      </c>
      <c r="AC66" s="229">
        <v>36</v>
      </c>
      <c r="AZ66" s="229">
        <v>4</v>
      </c>
      <c r="BA66" s="229">
        <f>IF(AZ66=1,G66,0)</f>
        <v>0</v>
      </c>
      <c r="BB66" s="229">
        <f>IF(AZ66=2,G66,0)</f>
        <v>0</v>
      </c>
      <c r="BC66" s="229">
        <f>IF(AZ66=3,G66,0)</f>
        <v>0</v>
      </c>
      <c r="BD66" s="229">
        <f>IF(AZ66=4,G66,0)</f>
        <v>0</v>
      </c>
      <c r="BE66" s="229">
        <f>IF(AZ66=5,G66,0)</f>
        <v>0</v>
      </c>
      <c r="CZ66" s="229">
        <v>0</v>
      </c>
    </row>
    <row r="67" spans="1:104" ht="12.75" customHeight="1" x14ac:dyDescent="0.2">
      <c r="A67" s="244"/>
      <c r="B67" s="245"/>
      <c r="C67" s="521" t="s">
        <v>235</v>
      </c>
      <c r="D67" s="521"/>
      <c r="E67" s="275">
        <v>169</v>
      </c>
      <c r="F67" s="276"/>
      <c r="G67" s="268"/>
      <c r="M67" s="235" t="s">
        <v>235</v>
      </c>
      <c r="O67" s="235"/>
    </row>
    <row r="68" spans="1:104" ht="23.25" x14ac:dyDescent="0.25">
      <c r="A68" s="236">
        <v>37</v>
      </c>
      <c r="B68" s="237" t="s">
        <v>251</v>
      </c>
      <c r="C68" s="238" t="s">
        <v>252</v>
      </c>
      <c r="D68" s="239" t="s">
        <v>31</v>
      </c>
      <c r="E68" s="273">
        <v>14.196</v>
      </c>
      <c r="F68" s="273"/>
      <c r="G68" s="265">
        <f>E68*F68</f>
        <v>0</v>
      </c>
      <c r="O68" s="235">
        <v>2</v>
      </c>
      <c r="AA68" s="229">
        <v>12</v>
      </c>
      <c r="AB68" s="229">
        <v>0</v>
      </c>
      <c r="AC68" s="229">
        <v>37</v>
      </c>
      <c r="AZ68" s="229">
        <v>4</v>
      </c>
      <c r="BA68" s="229">
        <f>IF(AZ68=1,G68,0)</f>
        <v>0</v>
      </c>
      <c r="BB68" s="229">
        <f>IF(AZ68=2,G68,0)</f>
        <v>0</v>
      </c>
      <c r="BC68" s="229">
        <f>IF(AZ68=3,G68,0)</f>
        <v>0</v>
      </c>
      <c r="BD68" s="229">
        <f>IF(AZ68=4,G68,0)</f>
        <v>0</v>
      </c>
      <c r="BE68" s="229">
        <f>IF(AZ68=5,G68,0)</f>
        <v>0</v>
      </c>
      <c r="CZ68" s="229">
        <v>0</v>
      </c>
    </row>
    <row r="69" spans="1:104" ht="12.75" customHeight="1" x14ac:dyDescent="0.2">
      <c r="A69" s="244"/>
      <c r="B69" s="245"/>
      <c r="C69" s="521" t="s">
        <v>253</v>
      </c>
      <c r="D69" s="521"/>
      <c r="E69" s="275">
        <v>14.196</v>
      </c>
      <c r="F69" s="276"/>
      <c r="G69" s="268"/>
      <c r="M69" s="235" t="s">
        <v>253</v>
      </c>
      <c r="O69" s="235"/>
    </row>
    <row r="70" spans="1:104" ht="15" x14ac:dyDescent="0.25">
      <c r="A70" s="236">
        <v>38</v>
      </c>
      <c r="B70" s="237" t="s">
        <v>254</v>
      </c>
      <c r="C70" s="238" t="s">
        <v>255</v>
      </c>
      <c r="D70" s="239" t="s">
        <v>23</v>
      </c>
      <c r="E70" s="273">
        <v>59.15</v>
      </c>
      <c r="F70" s="273"/>
      <c r="G70" s="265">
        <f>E70*F70</f>
        <v>0</v>
      </c>
      <c r="O70" s="235">
        <v>2</v>
      </c>
      <c r="AA70" s="229">
        <v>12</v>
      </c>
      <c r="AB70" s="229">
        <v>0</v>
      </c>
      <c r="AC70" s="229">
        <v>38</v>
      </c>
      <c r="AZ70" s="229">
        <v>4</v>
      </c>
      <c r="BA70" s="229">
        <f>IF(AZ70=1,G70,0)</f>
        <v>0</v>
      </c>
      <c r="BB70" s="229">
        <f>IF(AZ70=2,G70,0)</f>
        <v>0</v>
      </c>
      <c r="BC70" s="229">
        <f>IF(AZ70=3,G70,0)</f>
        <v>0</v>
      </c>
      <c r="BD70" s="229">
        <f>IF(AZ70=4,G70,0)</f>
        <v>0</v>
      </c>
      <c r="BE70" s="229">
        <f>IF(AZ70=5,G70,0)</f>
        <v>0</v>
      </c>
      <c r="CZ70" s="229">
        <v>0</v>
      </c>
    </row>
    <row r="71" spans="1:104" ht="12.75" customHeight="1" x14ac:dyDescent="0.2">
      <c r="A71" s="244"/>
      <c r="B71" s="245"/>
      <c r="C71" s="521" t="s">
        <v>256</v>
      </c>
      <c r="D71" s="521"/>
      <c r="E71" s="275">
        <v>59.15</v>
      </c>
      <c r="F71" s="276"/>
      <c r="G71" s="268"/>
      <c r="M71" s="235" t="s">
        <v>256</v>
      </c>
      <c r="O71" s="235"/>
    </row>
    <row r="72" spans="1:104" ht="23.25" x14ac:dyDescent="0.25">
      <c r="A72" s="236">
        <v>39</v>
      </c>
      <c r="B72" s="237" t="s">
        <v>257</v>
      </c>
      <c r="C72" s="238" t="s">
        <v>258</v>
      </c>
      <c r="D72" s="239" t="s">
        <v>168</v>
      </c>
      <c r="E72" s="273">
        <v>5</v>
      </c>
      <c r="F72" s="273"/>
      <c r="G72" s="265">
        <f>E72*F72</f>
        <v>0</v>
      </c>
      <c r="O72" s="235">
        <v>2</v>
      </c>
      <c r="AA72" s="229">
        <v>12</v>
      </c>
      <c r="AB72" s="229">
        <v>0</v>
      </c>
      <c r="AC72" s="229">
        <v>39</v>
      </c>
      <c r="AZ72" s="229">
        <v>4</v>
      </c>
      <c r="BA72" s="229">
        <f>IF(AZ72=1,G72,0)</f>
        <v>0</v>
      </c>
      <c r="BB72" s="229">
        <f>IF(AZ72=2,G72,0)</f>
        <v>0</v>
      </c>
      <c r="BC72" s="229">
        <f>IF(AZ72=3,G72,0)</f>
        <v>0</v>
      </c>
      <c r="BD72" s="229">
        <f>IF(AZ72=4,G72,0)</f>
        <v>0</v>
      </c>
      <c r="BE72" s="229">
        <f>IF(AZ72=5,G72,0)</f>
        <v>0</v>
      </c>
      <c r="CZ72" s="229">
        <v>4.5469999999999997E-2</v>
      </c>
    </row>
    <row r="73" spans="1:104" ht="12.75" customHeight="1" x14ac:dyDescent="0.2">
      <c r="A73" s="244"/>
      <c r="B73" s="245"/>
      <c r="C73" s="521" t="s">
        <v>259</v>
      </c>
      <c r="D73" s="521"/>
      <c r="E73" s="275">
        <v>5</v>
      </c>
      <c r="F73" s="276"/>
      <c r="G73" s="268"/>
      <c r="M73" s="235" t="s">
        <v>259</v>
      </c>
      <c r="O73" s="235"/>
    </row>
    <row r="74" spans="1:104" ht="23.25" x14ac:dyDescent="0.25">
      <c r="A74" s="236">
        <v>40</v>
      </c>
      <c r="B74" s="237" t="s">
        <v>260</v>
      </c>
      <c r="C74" s="238" t="s">
        <v>261</v>
      </c>
      <c r="D74" s="239" t="s">
        <v>231</v>
      </c>
      <c r="E74" s="273">
        <v>0.20499999999999999</v>
      </c>
      <c r="F74" s="273"/>
      <c r="G74" s="265">
        <f>E74*F74</f>
        <v>0</v>
      </c>
      <c r="O74" s="235">
        <v>2</v>
      </c>
      <c r="AA74" s="229">
        <v>12</v>
      </c>
      <c r="AB74" s="229">
        <v>0</v>
      </c>
      <c r="AC74" s="229">
        <v>40</v>
      </c>
      <c r="AZ74" s="229">
        <v>4</v>
      </c>
      <c r="BA74" s="229">
        <f>IF(AZ74=1,G74,0)</f>
        <v>0</v>
      </c>
      <c r="BB74" s="229">
        <f>IF(AZ74=2,G74,0)</f>
        <v>0</v>
      </c>
      <c r="BC74" s="229">
        <f>IF(AZ74=3,G74,0)</f>
        <v>0</v>
      </c>
      <c r="BD74" s="229">
        <f>IF(AZ74=4,G74,0)</f>
        <v>0</v>
      </c>
      <c r="BE74" s="229">
        <f>IF(AZ74=5,G74,0)</f>
        <v>0</v>
      </c>
      <c r="CZ74" s="229">
        <v>0</v>
      </c>
    </row>
    <row r="75" spans="1:104" x14ac:dyDescent="0.2">
      <c r="A75" s="240"/>
      <c r="B75" s="241" t="s">
        <v>163</v>
      </c>
      <c r="C75" s="242" t="str">
        <f>CONCATENATE(B49," ",C49)</f>
        <v>M46 Zemní práce při montážích</v>
      </c>
      <c r="D75" s="240"/>
      <c r="E75" s="274"/>
      <c r="F75" s="274"/>
      <c r="G75" s="266">
        <f>SUM(G49:G74)</f>
        <v>0</v>
      </c>
      <c r="O75" s="235">
        <v>4</v>
      </c>
      <c r="BA75" s="243">
        <f>SUM(BA49:BA74)</f>
        <v>0</v>
      </c>
      <c r="BB75" s="243">
        <f>SUM(BB49:BB74)</f>
        <v>0</v>
      </c>
      <c r="BC75" s="243">
        <f>SUM(BC49:BC74)</f>
        <v>0</v>
      </c>
      <c r="BD75" s="243">
        <f>SUM(BD49:BD74)</f>
        <v>0</v>
      </c>
      <c r="BE75" s="243">
        <f>SUM(BE49:BE74)</f>
        <v>0</v>
      </c>
    </row>
    <row r="76" spans="1:104" x14ac:dyDescent="0.2">
      <c r="A76" s="230" t="s">
        <v>159</v>
      </c>
      <c r="B76" s="231" t="s">
        <v>262</v>
      </c>
      <c r="C76" s="232" t="s">
        <v>263</v>
      </c>
      <c r="D76" s="233"/>
      <c r="E76" s="233"/>
      <c r="F76" s="233"/>
      <c r="G76" s="267"/>
      <c r="O76" s="235">
        <v>1</v>
      </c>
    </row>
    <row r="77" spans="1:104" ht="15" x14ac:dyDescent="0.25">
      <c r="A77" s="236">
        <v>71</v>
      </c>
      <c r="B77" s="237" t="s">
        <v>264</v>
      </c>
      <c r="C77" s="238" t="s">
        <v>265</v>
      </c>
      <c r="D77" s="239" t="s">
        <v>266</v>
      </c>
      <c r="E77" s="273">
        <v>16</v>
      </c>
      <c r="F77" s="273"/>
      <c r="G77" s="265">
        <f>E77*F77</f>
        <v>0</v>
      </c>
      <c r="O77" s="235">
        <v>2</v>
      </c>
      <c r="AA77" s="229">
        <v>12</v>
      </c>
      <c r="AB77" s="229">
        <v>0</v>
      </c>
      <c r="AC77" s="229">
        <v>42</v>
      </c>
      <c r="AZ77" s="229">
        <v>4</v>
      </c>
      <c r="BA77" s="229">
        <f>IF(AZ77=1,G77,0)</f>
        <v>0</v>
      </c>
      <c r="BB77" s="229">
        <f>IF(AZ77=2,G77,0)</f>
        <v>0</v>
      </c>
      <c r="BC77" s="229">
        <f>IF(AZ77=3,G77,0)</f>
        <v>0</v>
      </c>
      <c r="BD77" s="229">
        <f>IF(AZ77=4,G77,0)</f>
        <v>0</v>
      </c>
      <c r="BE77" s="229">
        <f>IF(AZ77=5,G77,0)</f>
        <v>0</v>
      </c>
      <c r="CZ77" s="229">
        <v>0</v>
      </c>
    </row>
    <row r="78" spans="1:104" x14ac:dyDescent="0.2">
      <c r="A78" s="240"/>
      <c r="B78" s="241" t="s">
        <v>163</v>
      </c>
      <c r="C78" s="242" t="str">
        <f>CONCATENATE(B76," ",C76)</f>
        <v>M96 Výchozí revize</v>
      </c>
      <c r="D78" s="240"/>
      <c r="E78" s="274"/>
      <c r="F78" s="274"/>
      <c r="G78" s="266">
        <f>SUM(G76:G77)</f>
        <v>0</v>
      </c>
      <c r="O78" s="235">
        <v>4</v>
      </c>
      <c r="BA78" s="243">
        <f>SUM(BA76:BA77)</f>
        <v>0</v>
      </c>
      <c r="BB78" s="243">
        <f>SUM(BB76:BB77)</f>
        <v>0</v>
      </c>
      <c r="BC78" s="243">
        <f>SUM(BC76:BC77)</f>
        <v>0</v>
      </c>
      <c r="BD78" s="243">
        <f>SUM(BD76:BD77)</f>
        <v>0</v>
      </c>
      <c r="BE78" s="243">
        <f>SUM(BE76:BE77)</f>
        <v>0</v>
      </c>
    </row>
    <row r="79" spans="1:104" x14ac:dyDescent="0.2">
      <c r="G79" s="269"/>
    </row>
    <row r="80" spans="1:104" ht="75" customHeight="1" x14ac:dyDescent="0.2">
      <c r="G80" s="269"/>
    </row>
    <row r="81" spans="2:7" ht="19.5" customHeight="1" x14ac:dyDescent="0.25">
      <c r="B81" s="257"/>
      <c r="C81" s="258" t="s">
        <v>271</v>
      </c>
      <c r="G81" s="269"/>
    </row>
    <row r="82" spans="2:7" ht="19.5" customHeight="1" x14ac:dyDescent="0.2">
      <c r="B82" s="259" t="s">
        <v>160</v>
      </c>
      <c r="C82" s="257" t="s">
        <v>272</v>
      </c>
      <c r="G82" s="281">
        <f>G7</f>
        <v>0</v>
      </c>
    </row>
    <row r="83" spans="2:7" ht="19.5" customHeight="1" x14ac:dyDescent="0.2">
      <c r="B83" s="259" t="s">
        <v>164</v>
      </c>
      <c r="C83" s="257" t="s">
        <v>165</v>
      </c>
      <c r="G83" s="281">
        <f>G48</f>
        <v>0</v>
      </c>
    </row>
    <row r="84" spans="2:7" ht="19.5" customHeight="1" x14ac:dyDescent="0.2">
      <c r="B84" s="259" t="s">
        <v>227</v>
      </c>
      <c r="C84" s="257" t="s">
        <v>228</v>
      </c>
      <c r="G84" s="281">
        <f>G75</f>
        <v>0</v>
      </c>
    </row>
    <row r="85" spans="2:7" ht="19.5" customHeight="1" thickBot="1" x14ac:dyDescent="0.25">
      <c r="B85" s="259" t="s">
        <v>262</v>
      </c>
      <c r="C85" s="257" t="s">
        <v>263</v>
      </c>
      <c r="G85" s="281">
        <f>G78</f>
        <v>0</v>
      </c>
    </row>
    <row r="86" spans="2:7" s="260" customFormat="1" ht="22.5" customHeight="1" thickBot="1" x14ac:dyDescent="0.3">
      <c r="B86" s="261"/>
      <c r="C86" s="262" t="s">
        <v>273</v>
      </c>
      <c r="D86" s="263"/>
      <c r="E86" s="278"/>
      <c r="F86" s="278"/>
      <c r="G86" s="264">
        <f>SUM(G82:G85)</f>
        <v>0</v>
      </c>
    </row>
    <row r="136" spans="1:7" x14ac:dyDescent="0.2">
      <c r="A136" s="247"/>
      <c r="B136" s="247"/>
    </row>
    <row r="137" spans="1:7" x14ac:dyDescent="0.2">
      <c r="C137" s="248"/>
      <c r="D137" s="248"/>
      <c r="E137" s="279"/>
      <c r="F137" s="280"/>
      <c r="G137" s="249"/>
    </row>
    <row r="138" spans="1:7" x14ac:dyDescent="0.2">
      <c r="A138" s="247"/>
      <c r="B138" s="247"/>
    </row>
  </sheetData>
  <sheetProtection selectLockedCells="1" selectUnlockedCells="1"/>
  <mergeCells count="24">
    <mergeCell ref="C67:D67"/>
    <mergeCell ref="C69:D69"/>
    <mergeCell ref="C71:D71"/>
    <mergeCell ref="C73:D73"/>
    <mergeCell ref="C53:D53"/>
    <mergeCell ref="C56:D56"/>
    <mergeCell ref="C58:D58"/>
    <mergeCell ref="C61:D61"/>
    <mergeCell ref="C63:D63"/>
    <mergeCell ref="C65:D65"/>
    <mergeCell ref="C10:D10"/>
    <mergeCell ref="C12:D12"/>
    <mergeCell ref="C51:D51"/>
    <mergeCell ref="C14:D14"/>
    <mergeCell ref="C16:D16"/>
    <mergeCell ref="C19:D19"/>
    <mergeCell ref="C22:D22"/>
    <mergeCell ref="C25:D25"/>
    <mergeCell ref="C28:D28"/>
    <mergeCell ref="C31:D31"/>
    <mergeCell ref="C34:D34"/>
    <mergeCell ref="C38:D38"/>
    <mergeCell ref="C41:D41"/>
    <mergeCell ref="C44:D44"/>
  </mergeCells>
  <pageMargins left="0.49" right="0.39374999999999999" top="0.28000000000000003" bottom="0.55000000000000004" header="0.23" footer="0.19652777777777777"/>
  <pageSetup paperSize="9" scale="98" firstPageNumber="0" orientation="portrait" horizontalDpi="300" verticalDpi="300" r:id="rId1"/>
  <headerFooter alignWithMargins="0">
    <oddFooter>&amp;CStránka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9F57A-2099-40ED-AA35-C59AAB82698C}">
  <sheetPr>
    <tabColor theme="4" tint="-0.249977111117893"/>
  </sheetPr>
  <dimension ref="A1:CY137"/>
  <sheetViews>
    <sheetView topLeftCell="A73" workbookViewId="0">
      <pane ySplit="6930" topLeftCell="A91"/>
      <selection activeCell="F79" sqref="F6:F79"/>
      <selection pane="bottomLeft" activeCell="G94" sqref="G94"/>
    </sheetView>
  </sheetViews>
  <sheetFormatPr defaultRowHeight="12.75" x14ac:dyDescent="0.2"/>
  <cols>
    <col min="1" max="1" width="4.42578125" style="229" customWidth="1"/>
    <col min="2" max="2" width="11.5703125" style="229" customWidth="1"/>
    <col min="3" max="3" width="40.42578125" style="229" customWidth="1"/>
    <col min="4" max="4" width="5.5703125" style="229" customWidth="1"/>
    <col min="5" max="5" width="8.5703125" style="484" customWidth="1"/>
    <col min="6" max="6" width="9.85546875" style="229" customWidth="1"/>
    <col min="7" max="7" width="13.85546875" style="229" customWidth="1"/>
    <col min="8" max="8" width="21.85546875" style="229" customWidth="1"/>
    <col min="9" max="9" width="9.42578125" style="229" bestFit="1" customWidth="1"/>
    <col min="10" max="10" width="9.140625" style="229"/>
    <col min="11" max="11" width="75.42578125" style="444" customWidth="1"/>
    <col min="12" max="12" width="45.28515625" style="229" customWidth="1"/>
    <col min="13" max="253" width="9.140625" style="229"/>
    <col min="254" max="254" width="4.42578125" style="229" customWidth="1"/>
    <col min="255" max="255" width="11.5703125" style="229" customWidth="1"/>
    <col min="256" max="256" width="40.42578125" style="229" customWidth="1"/>
    <col min="257" max="257" width="5.5703125" style="229" customWidth="1"/>
    <col min="258" max="258" width="8.5703125" style="229" customWidth="1"/>
    <col min="259" max="259" width="9.85546875" style="229" customWidth="1"/>
    <col min="260" max="262" width="13.85546875" style="229" customWidth="1"/>
    <col min="263" max="263" width="9.140625" style="229"/>
    <col min="264" max="264" width="21.85546875" style="229" customWidth="1"/>
    <col min="265" max="265" width="9.42578125" style="229" bestFit="1" customWidth="1"/>
    <col min="266" max="266" width="9.140625" style="229"/>
    <col min="267" max="267" width="75.42578125" style="229" customWidth="1"/>
    <col min="268" max="268" width="45.28515625" style="229" customWidth="1"/>
    <col min="269" max="509" width="9.140625" style="229"/>
    <col min="510" max="510" width="4.42578125" style="229" customWidth="1"/>
    <col min="511" max="511" width="11.5703125" style="229" customWidth="1"/>
    <col min="512" max="512" width="40.42578125" style="229" customWidth="1"/>
    <col min="513" max="513" width="5.5703125" style="229" customWidth="1"/>
    <col min="514" max="514" width="8.5703125" style="229" customWidth="1"/>
    <col min="515" max="515" width="9.85546875" style="229" customWidth="1"/>
    <col min="516" max="518" width="13.85546875" style="229" customWidth="1"/>
    <col min="519" max="519" width="9.140625" style="229"/>
    <col min="520" max="520" width="21.85546875" style="229" customWidth="1"/>
    <col min="521" max="521" width="9.42578125" style="229" bestFit="1" customWidth="1"/>
    <col min="522" max="522" width="9.140625" style="229"/>
    <col min="523" max="523" width="75.42578125" style="229" customWidth="1"/>
    <col min="524" max="524" width="45.28515625" style="229" customWidth="1"/>
    <col min="525" max="765" width="9.140625" style="229"/>
    <col min="766" max="766" width="4.42578125" style="229" customWidth="1"/>
    <col min="767" max="767" width="11.5703125" style="229" customWidth="1"/>
    <col min="768" max="768" width="40.42578125" style="229" customWidth="1"/>
    <col min="769" max="769" width="5.5703125" style="229" customWidth="1"/>
    <col min="770" max="770" width="8.5703125" style="229" customWidth="1"/>
    <col min="771" max="771" width="9.85546875" style="229" customWidth="1"/>
    <col min="772" max="774" width="13.85546875" style="229" customWidth="1"/>
    <col min="775" max="775" width="9.140625" style="229"/>
    <col min="776" max="776" width="21.85546875" style="229" customWidth="1"/>
    <col min="777" max="777" width="9.42578125" style="229" bestFit="1" customWidth="1"/>
    <col min="778" max="778" width="9.140625" style="229"/>
    <col min="779" max="779" width="75.42578125" style="229" customWidth="1"/>
    <col min="780" max="780" width="45.28515625" style="229" customWidth="1"/>
    <col min="781" max="1021" width="9.140625" style="229"/>
    <col min="1022" max="1022" width="4.42578125" style="229" customWidth="1"/>
    <col min="1023" max="1023" width="11.5703125" style="229" customWidth="1"/>
    <col min="1024" max="1024" width="40.42578125" style="229" customWidth="1"/>
    <col min="1025" max="1025" width="5.5703125" style="229" customWidth="1"/>
    <col min="1026" max="1026" width="8.5703125" style="229" customWidth="1"/>
    <col min="1027" max="1027" width="9.85546875" style="229" customWidth="1"/>
    <col min="1028" max="1030" width="13.85546875" style="229" customWidth="1"/>
    <col min="1031" max="1031" width="9.140625" style="229"/>
    <col min="1032" max="1032" width="21.85546875" style="229" customWidth="1"/>
    <col min="1033" max="1033" width="9.42578125" style="229" bestFit="1" customWidth="1"/>
    <col min="1034" max="1034" width="9.140625" style="229"/>
    <col min="1035" max="1035" width="75.42578125" style="229" customWidth="1"/>
    <col min="1036" max="1036" width="45.28515625" style="229" customWidth="1"/>
    <col min="1037" max="1277" width="9.140625" style="229"/>
    <col min="1278" max="1278" width="4.42578125" style="229" customWidth="1"/>
    <col min="1279" max="1279" width="11.5703125" style="229" customWidth="1"/>
    <col min="1280" max="1280" width="40.42578125" style="229" customWidth="1"/>
    <col min="1281" max="1281" width="5.5703125" style="229" customWidth="1"/>
    <col min="1282" max="1282" width="8.5703125" style="229" customWidth="1"/>
    <col min="1283" max="1283" width="9.85546875" style="229" customWidth="1"/>
    <col min="1284" max="1286" width="13.85546875" style="229" customWidth="1"/>
    <col min="1287" max="1287" width="9.140625" style="229"/>
    <col min="1288" max="1288" width="21.85546875" style="229" customWidth="1"/>
    <col min="1289" max="1289" width="9.42578125" style="229" bestFit="1" customWidth="1"/>
    <col min="1290" max="1290" width="9.140625" style="229"/>
    <col min="1291" max="1291" width="75.42578125" style="229" customWidth="1"/>
    <col min="1292" max="1292" width="45.28515625" style="229" customWidth="1"/>
    <col min="1293" max="1533" width="9.140625" style="229"/>
    <col min="1534" max="1534" width="4.42578125" style="229" customWidth="1"/>
    <col min="1535" max="1535" width="11.5703125" style="229" customWidth="1"/>
    <col min="1536" max="1536" width="40.42578125" style="229" customWidth="1"/>
    <col min="1537" max="1537" width="5.5703125" style="229" customWidth="1"/>
    <col min="1538" max="1538" width="8.5703125" style="229" customWidth="1"/>
    <col min="1539" max="1539" width="9.85546875" style="229" customWidth="1"/>
    <col min="1540" max="1542" width="13.85546875" style="229" customWidth="1"/>
    <col min="1543" max="1543" width="9.140625" style="229"/>
    <col min="1544" max="1544" width="21.85546875" style="229" customWidth="1"/>
    <col min="1545" max="1545" width="9.42578125" style="229" bestFit="1" customWidth="1"/>
    <col min="1546" max="1546" width="9.140625" style="229"/>
    <col min="1547" max="1547" width="75.42578125" style="229" customWidth="1"/>
    <col min="1548" max="1548" width="45.28515625" style="229" customWidth="1"/>
    <col min="1549" max="1789" width="9.140625" style="229"/>
    <col min="1790" max="1790" width="4.42578125" style="229" customWidth="1"/>
    <col min="1791" max="1791" width="11.5703125" style="229" customWidth="1"/>
    <col min="1792" max="1792" width="40.42578125" style="229" customWidth="1"/>
    <col min="1793" max="1793" width="5.5703125" style="229" customWidth="1"/>
    <col min="1794" max="1794" width="8.5703125" style="229" customWidth="1"/>
    <col min="1795" max="1795" width="9.85546875" style="229" customWidth="1"/>
    <col min="1796" max="1798" width="13.85546875" style="229" customWidth="1"/>
    <col min="1799" max="1799" width="9.140625" style="229"/>
    <col min="1800" max="1800" width="21.85546875" style="229" customWidth="1"/>
    <col min="1801" max="1801" width="9.42578125" style="229" bestFit="1" customWidth="1"/>
    <col min="1802" max="1802" width="9.140625" style="229"/>
    <col min="1803" max="1803" width="75.42578125" style="229" customWidth="1"/>
    <col min="1804" max="1804" width="45.28515625" style="229" customWidth="1"/>
    <col min="1805" max="2045" width="9.140625" style="229"/>
    <col min="2046" max="2046" width="4.42578125" style="229" customWidth="1"/>
    <col min="2047" max="2047" width="11.5703125" style="229" customWidth="1"/>
    <col min="2048" max="2048" width="40.42578125" style="229" customWidth="1"/>
    <col min="2049" max="2049" width="5.5703125" style="229" customWidth="1"/>
    <col min="2050" max="2050" width="8.5703125" style="229" customWidth="1"/>
    <col min="2051" max="2051" width="9.85546875" style="229" customWidth="1"/>
    <col min="2052" max="2054" width="13.85546875" style="229" customWidth="1"/>
    <col min="2055" max="2055" width="9.140625" style="229"/>
    <col min="2056" max="2056" width="21.85546875" style="229" customWidth="1"/>
    <col min="2057" max="2057" width="9.42578125" style="229" bestFit="1" customWidth="1"/>
    <col min="2058" max="2058" width="9.140625" style="229"/>
    <col min="2059" max="2059" width="75.42578125" style="229" customWidth="1"/>
    <col min="2060" max="2060" width="45.28515625" style="229" customWidth="1"/>
    <col min="2061" max="2301" width="9.140625" style="229"/>
    <col min="2302" max="2302" width="4.42578125" style="229" customWidth="1"/>
    <col min="2303" max="2303" width="11.5703125" style="229" customWidth="1"/>
    <col min="2304" max="2304" width="40.42578125" style="229" customWidth="1"/>
    <col min="2305" max="2305" width="5.5703125" style="229" customWidth="1"/>
    <col min="2306" max="2306" width="8.5703125" style="229" customWidth="1"/>
    <col min="2307" max="2307" width="9.85546875" style="229" customWidth="1"/>
    <col min="2308" max="2310" width="13.85546875" style="229" customWidth="1"/>
    <col min="2311" max="2311" width="9.140625" style="229"/>
    <col min="2312" max="2312" width="21.85546875" style="229" customWidth="1"/>
    <col min="2313" max="2313" width="9.42578125" style="229" bestFit="1" customWidth="1"/>
    <col min="2314" max="2314" width="9.140625" style="229"/>
    <col min="2315" max="2315" width="75.42578125" style="229" customWidth="1"/>
    <col min="2316" max="2316" width="45.28515625" style="229" customWidth="1"/>
    <col min="2317" max="2557" width="9.140625" style="229"/>
    <col min="2558" max="2558" width="4.42578125" style="229" customWidth="1"/>
    <col min="2559" max="2559" width="11.5703125" style="229" customWidth="1"/>
    <col min="2560" max="2560" width="40.42578125" style="229" customWidth="1"/>
    <col min="2561" max="2561" width="5.5703125" style="229" customWidth="1"/>
    <col min="2562" max="2562" width="8.5703125" style="229" customWidth="1"/>
    <col min="2563" max="2563" width="9.85546875" style="229" customWidth="1"/>
    <col min="2564" max="2566" width="13.85546875" style="229" customWidth="1"/>
    <col min="2567" max="2567" width="9.140625" style="229"/>
    <col min="2568" max="2568" width="21.85546875" style="229" customWidth="1"/>
    <col min="2569" max="2569" width="9.42578125" style="229" bestFit="1" customWidth="1"/>
    <col min="2570" max="2570" width="9.140625" style="229"/>
    <col min="2571" max="2571" width="75.42578125" style="229" customWidth="1"/>
    <col min="2572" max="2572" width="45.28515625" style="229" customWidth="1"/>
    <col min="2573" max="2813" width="9.140625" style="229"/>
    <col min="2814" max="2814" width="4.42578125" style="229" customWidth="1"/>
    <col min="2815" max="2815" width="11.5703125" style="229" customWidth="1"/>
    <col min="2816" max="2816" width="40.42578125" style="229" customWidth="1"/>
    <col min="2817" max="2817" width="5.5703125" style="229" customWidth="1"/>
    <col min="2818" max="2818" width="8.5703125" style="229" customWidth="1"/>
    <col min="2819" max="2819" width="9.85546875" style="229" customWidth="1"/>
    <col min="2820" max="2822" width="13.85546875" style="229" customWidth="1"/>
    <col min="2823" max="2823" width="9.140625" style="229"/>
    <col min="2824" max="2824" width="21.85546875" style="229" customWidth="1"/>
    <col min="2825" max="2825" width="9.42578125" style="229" bestFit="1" customWidth="1"/>
    <col min="2826" max="2826" width="9.140625" style="229"/>
    <col min="2827" max="2827" width="75.42578125" style="229" customWidth="1"/>
    <col min="2828" max="2828" width="45.28515625" style="229" customWidth="1"/>
    <col min="2829" max="3069" width="9.140625" style="229"/>
    <col min="3070" max="3070" width="4.42578125" style="229" customWidth="1"/>
    <col min="3071" max="3071" width="11.5703125" style="229" customWidth="1"/>
    <col min="3072" max="3072" width="40.42578125" style="229" customWidth="1"/>
    <col min="3073" max="3073" width="5.5703125" style="229" customWidth="1"/>
    <col min="3074" max="3074" width="8.5703125" style="229" customWidth="1"/>
    <col min="3075" max="3075" width="9.85546875" style="229" customWidth="1"/>
    <col min="3076" max="3078" width="13.85546875" style="229" customWidth="1"/>
    <col min="3079" max="3079" width="9.140625" style="229"/>
    <col min="3080" max="3080" width="21.85546875" style="229" customWidth="1"/>
    <col min="3081" max="3081" width="9.42578125" style="229" bestFit="1" customWidth="1"/>
    <col min="3082" max="3082" width="9.140625" style="229"/>
    <col min="3083" max="3083" width="75.42578125" style="229" customWidth="1"/>
    <col min="3084" max="3084" width="45.28515625" style="229" customWidth="1"/>
    <col min="3085" max="3325" width="9.140625" style="229"/>
    <col min="3326" max="3326" width="4.42578125" style="229" customWidth="1"/>
    <col min="3327" max="3327" width="11.5703125" style="229" customWidth="1"/>
    <col min="3328" max="3328" width="40.42578125" style="229" customWidth="1"/>
    <col min="3329" max="3329" width="5.5703125" style="229" customWidth="1"/>
    <col min="3330" max="3330" width="8.5703125" style="229" customWidth="1"/>
    <col min="3331" max="3331" width="9.85546875" style="229" customWidth="1"/>
    <col min="3332" max="3334" width="13.85546875" style="229" customWidth="1"/>
    <col min="3335" max="3335" width="9.140625" style="229"/>
    <col min="3336" max="3336" width="21.85546875" style="229" customWidth="1"/>
    <col min="3337" max="3337" width="9.42578125" style="229" bestFit="1" customWidth="1"/>
    <col min="3338" max="3338" width="9.140625" style="229"/>
    <col min="3339" max="3339" width="75.42578125" style="229" customWidth="1"/>
    <col min="3340" max="3340" width="45.28515625" style="229" customWidth="1"/>
    <col min="3341" max="3581" width="9.140625" style="229"/>
    <col min="3582" max="3582" width="4.42578125" style="229" customWidth="1"/>
    <col min="3583" max="3583" width="11.5703125" style="229" customWidth="1"/>
    <col min="3584" max="3584" width="40.42578125" style="229" customWidth="1"/>
    <col min="3585" max="3585" width="5.5703125" style="229" customWidth="1"/>
    <col min="3586" max="3586" width="8.5703125" style="229" customWidth="1"/>
    <col min="3587" max="3587" width="9.85546875" style="229" customWidth="1"/>
    <col min="3588" max="3590" width="13.85546875" style="229" customWidth="1"/>
    <col min="3591" max="3591" width="9.140625" style="229"/>
    <col min="3592" max="3592" width="21.85546875" style="229" customWidth="1"/>
    <col min="3593" max="3593" width="9.42578125" style="229" bestFit="1" customWidth="1"/>
    <col min="3594" max="3594" width="9.140625" style="229"/>
    <col min="3595" max="3595" width="75.42578125" style="229" customWidth="1"/>
    <col min="3596" max="3596" width="45.28515625" style="229" customWidth="1"/>
    <col min="3597" max="3837" width="9.140625" style="229"/>
    <col min="3838" max="3838" width="4.42578125" style="229" customWidth="1"/>
    <col min="3839" max="3839" width="11.5703125" style="229" customWidth="1"/>
    <col min="3840" max="3840" width="40.42578125" style="229" customWidth="1"/>
    <col min="3841" max="3841" width="5.5703125" style="229" customWidth="1"/>
    <col min="3842" max="3842" width="8.5703125" style="229" customWidth="1"/>
    <col min="3843" max="3843" width="9.85546875" style="229" customWidth="1"/>
    <col min="3844" max="3846" width="13.85546875" style="229" customWidth="1"/>
    <col min="3847" max="3847" width="9.140625" style="229"/>
    <col min="3848" max="3848" width="21.85546875" style="229" customWidth="1"/>
    <col min="3849" max="3849" width="9.42578125" style="229" bestFit="1" customWidth="1"/>
    <col min="3850" max="3850" width="9.140625" style="229"/>
    <col min="3851" max="3851" width="75.42578125" style="229" customWidth="1"/>
    <col min="3852" max="3852" width="45.28515625" style="229" customWidth="1"/>
    <col min="3853" max="4093" width="9.140625" style="229"/>
    <col min="4094" max="4094" width="4.42578125" style="229" customWidth="1"/>
    <col min="4095" max="4095" width="11.5703125" style="229" customWidth="1"/>
    <col min="4096" max="4096" width="40.42578125" style="229" customWidth="1"/>
    <col min="4097" max="4097" width="5.5703125" style="229" customWidth="1"/>
    <col min="4098" max="4098" width="8.5703125" style="229" customWidth="1"/>
    <col min="4099" max="4099" width="9.85546875" style="229" customWidth="1"/>
    <col min="4100" max="4102" width="13.85546875" style="229" customWidth="1"/>
    <col min="4103" max="4103" width="9.140625" style="229"/>
    <col min="4104" max="4104" width="21.85546875" style="229" customWidth="1"/>
    <col min="4105" max="4105" width="9.42578125" style="229" bestFit="1" customWidth="1"/>
    <col min="4106" max="4106" width="9.140625" style="229"/>
    <col min="4107" max="4107" width="75.42578125" style="229" customWidth="1"/>
    <col min="4108" max="4108" width="45.28515625" style="229" customWidth="1"/>
    <col min="4109" max="4349" width="9.140625" style="229"/>
    <col min="4350" max="4350" width="4.42578125" style="229" customWidth="1"/>
    <col min="4351" max="4351" width="11.5703125" style="229" customWidth="1"/>
    <col min="4352" max="4352" width="40.42578125" style="229" customWidth="1"/>
    <col min="4353" max="4353" width="5.5703125" style="229" customWidth="1"/>
    <col min="4354" max="4354" width="8.5703125" style="229" customWidth="1"/>
    <col min="4355" max="4355" width="9.85546875" style="229" customWidth="1"/>
    <col min="4356" max="4358" width="13.85546875" style="229" customWidth="1"/>
    <col min="4359" max="4359" width="9.140625" style="229"/>
    <col min="4360" max="4360" width="21.85546875" style="229" customWidth="1"/>
    <col min="4361" max="4361" width="9.42578125" style="229" bestFit="1" customWidth="1"/>
    <col min="4362" max="4362" width="9.140625" style="229"/>
    <col min="4363" max="4363" width="75.42578125" style="229" customWidth="1"/>
    <col min="4364" max="4364" width="45.28515625" style="229" customWidth="1"/>
    <col min="4365" max="4605" width="9.140625" style="229"/>
    <col min="4606" max="4606" width="4.42578125" style="229" customWidth="1"/>
    <col min="4607" max="4607" width="11.5703125" style="229" customWidth="1"/>
    <col min="4608" max="4608" width="40.42578125" style="229" customWidth="1"/>
    <col min="4609" max="4609" width="5.5703125" style="229" customWidth="1"/>
    <col min="4610" max="4610" width="8.5703125" style="229" customWidth="1"/>
    <col min="4611" max="4611" width="9.85546875" style="229" customWidth="1"/>
    <col min="4612" max="4614" width="13.85546875" style="229" customWidth="1"/>
    <col min="4615" max="4615" width="9.140625" style="229"/>
    <col min="4616" max="4616" width="21.85546875" style="229" customWidth="1"/>
    <col min="4617" max="4617" width="9.42578125" style="229" bestFit="1" customWidth="1"/>
    <col min="4618" max="4618" width="9.140625" style="229"/>
    <col min="4619" max="4619" width="75.42578125" style="229" customWidth="1"/>
    <col min="4620" max="4620" width="45.28515625" style="229" customWidth="1"/>
    <col min="4621" max="4861" width="9.140625" style="229"/>
    <col min="4862" max="4862" width="4.42578125" style="229" customWidth="1"/>
    <col min="4863" max="4863" width="11.5703125" style="229" customWidth="1"/>
    <col min="4864" max="4864" width="40.42578125" style="229" customWidth="1"/>
    <col min="4865" max="4865" width="5.5703125" style="229" customWidth="1"/>
    <col min="4866" max="4866" width="8.5703125" style="229" customWidth="1"/>
    <col min="4867" max="4867" width="9.85546875" style="229" customWidth="1"/>
    <col min="4868" max="4870" width="13.85546875" style="229" customWidth="1"/>
    <col min="4871" max="4871" width="9.140625" style="229"/>
    <col min="4872" max="4872" width="21.85546875" style="229" customWidth="1"/>
    <col min="4873" max="4873" width="9.42578125" style="229" bestFit="1" customWidth="1"/>
    <col min="4874" max="4874" width="9.140625" style="229"/>
    <col min="4875" max="4875" width="75.42578125" style="229" customWidth="1"/>
    <col min="4876" max="4876" width="45.28515625" style="229" customWidth="1"/>
    <col min="4877" max="5117" width="9.140625" style="229"/>
    <col min="5118" max="5118" width="4.42578125" style="229" customWidth="1"/>
    <col min="5119" max="5119" width="11.5703125" style="229" customWidth="1"/>
    <col min="5120" max="5120" width="40.42578125" style="229" customWidth="1"/>
    <col min="5121" max="5121" width="5.5703125" style="229" customWidth="1"/>
    <col min="5122" max="5122" width="8.5703125" style="229" customWidth="1"/>
    <col min="5123" max="5123" width="9.85546875" style="229" customWidth="1"/>
    <col min="5124" max="5126" width="13.85546875" style="229" customWidth="1"/>
    <col min="5127" max="5127" width="9.140625" style="229"/>
    <col min="5128" max="5128" width="21.85546875" style="229" customWidth="1"/>
    <col min="5129" max="5129" width="9.42578125" style="229" bestFit="1" customWidth="1"/>
    <col min="5130" max="5130" width="9.140625" style="229"/>
    <col min="5131" max="5131" width="75.42578125" style="229" customWidth="1"/>
    <col min="5132" max="5132" width="45.28515625" style="229" customWidth="1"/>
    <col min="5133" max="5373" width="9.140625" style="229"/>
    <col min="5374" max="5374" width="4.42578125" style="229" customWidth="1"/>
    <col min="5375" max="5375" width="11.5703125" style="229" customWidth="1"/>
    <col min="5376" max="5376" width="40.42578125" style="229" customWidth="1"/>
    <col min="5377" max="5377" width="5.5703125" style="229" customWidth="1"/>
    <col min="5378" max="5378" width="8.5703125" style="229" customWidth="1"/>
    <col min="5379" max="5379" width="9.85546875" style="229" customWidth="1"/>
    <col min="5380" max="5382" width="13.85546875" style="229" customWidth="1"/>
    <col min="5383" max="5383" width="9.140625" style="229"/>
    <col min="5384" max="5384" width="21.85546875" style="229" customWidth="1"/>
    <col min="5385" max="5385" width="9.42578125" style="229" bestFit="1" customWidth="1"/>
    <col min="5386" max="5386" width="9.140625" style="229"/>
    <col min="5387" max="5387" width="75.42578125" style="229" customWidth="1"/>
    <col min="5388" max="5388" width="45.28515625" style="229" customWidth="1"/>
    <col min="5389" max="5629" width="9.140625" style="229"/>
    <col min="5630" max="5630" width="4.42578125" style="229" customWidth="1"/>
    <col min="5631" max="5631" width="11.5703125" style="229" customWidth="1"/>
    <col min="5632" max="5632" width="40.42578125" style="229" customWidth="1"/>
    <col min="5633" max="5633" width="5.5703125" style="229" customWidth="1"/>
    <col min="5634" max="5634" width="8.5703125" style="229" customWidth="1"/>
    <col min="5635" max="5635" width="9.85546875" style="229" customWidth="1"/>
    <col min="5636" max="5638" width="13.85546875" style="229" customWidth="1"/>
    <col min="5639" max="5639" width="9.140625" style="229"/>
    <col min="5640" max="5640" width="21.85546875" style="229" customWidth="1"/>
    <col min="5641" max="5641" width="9.42578125" style="229" bestFit="1" customWidth="1"/>
    <col min="5642" max="5642" width="9.140625" style="229"/>
    <col min="5643" max="5643" width="75.42578125" style="229" customWidth="1"/>
    <col min="5644" max="5644" width="45.28515625" style="229" customWidth="1"/>
    <col min="5645" max="5885" width="9.140625" style="229"/>
    <col min="5886" max="5886" width="4.42578125" style="229" customWidth="1"/>
    <col min="5887" max="5887" width="11.5703125" style="229" customWidth="1"/>
    <col min="5888" max="5888" width="40.42578125" style="229" customWidth="1"/>
    <col min="5889" max="5889" width="5.5703125" style="229" customWidth="1"/>
    <col min="5890" max="5890" width="8.5703125" style="229" customWidth="1"/>
    <col min="5891" max="5891" width="9.85546875" style="229" customWidth="1"/>
    <col min="5892" max="5894" width="13.85546875" style="229" customWidth="1"/>
    <col min="5895" max="5895" width="9.140625" style="229"/>
    <col min="5896" max="5896" width="21.85546875" style="229" customWidth="1"/>
    <col min="5897" max="5897" width="9.42578125" style="229" bestFit="1" customWidth="1"/>
    <col min="5898" max="5898" width="9.140625" style="229"/>
    <col min="5899" max="5899" width="75.42578125" style="229" customWidth="1"/>
    <col min="5900" max="5900" width="45.28515625" style="229" customWidth="1"/>
    <col min="5901" max="6141" width="9.140625" style="229"/>
    <col min="6142" max="6142" width="4.42578125" style="229" customWidth="1"/>
    <col min="6143" max="6143" width="11.5703125" style="229" customWidth="1"/>
    <col min="6144" max="6144" width="40.42578125" style="229" customWidth="1"/>
    <col min="6145" max="6145" width="5.5703125" style="229" customWidth="1"/>
    <col min="6146" max="6146" width="8.5703125" style="229" customWidth="1"/>
    <col min="6147" max="6147" width="9.85546875" style="229" customWidth="1"/>
    <col min="6148" max="6150" width="13.85546875" style="229" customWidth="1"/>
    <col min="6151" max="6151" width="9.140625" style="229"/>
    <col min="6152" max="6152" width="21.85546875" style="229" customWidth="1"/>
    <col min="6153" max="6153" width="9.42578125" style="229" bestFit="1" customWidth="1"/>
    <col min="6154" max="6154" width="9.140625" style="229"/>
    <col min="6155" max="6155" width="75.42578125" style="229" customWidth="1"/>
    <col min="6156" max="6156" width="45.28515625" style="229" customWidth="1"/>
    <col min="6157" max="6397" width="9.140625" style="229"/>
    <col min="6398" max="6398" width="4.42578125" style="229" customWidth="1"/>
    <col min="6399" max="6399" width="11.5703125" style="229" customWidth="1"/>
    <col min="6400" max="6400" width="40.42578125" style="229" customWidth="1"/>
    <col min="6401" max="6401" width="5.5703125" style="229" customWidth="1"/>
    <col min="6402" max="6402" width="8.5703125" style="229" customWidth="1"/>
    <col min="6403" max="6403" width="9.85546875" style="229" customWidth="1"/>
    <col min="6404" max="6406" width="13.85546875" style="229" customWidth="1"/>
    <col min="6407" max="6407" width="9.140625" style="229"/>
    <col min="6408" max="6408" width="21.85546875" style="229" customWidth="1"/>
    <col min="6409" max="6409" width="9.42578125" style="229" bestFit="1" customWidth="1"/>
    <col min="6410" max="6410" width="9.140625" style="229"/>
    <col min="6411" max="6411" width="75.42578125" style="229" customWidth="1"/>
    <col min="6412" max="6412" width="45.28515625" style="229" customWidth="1"/>
    <col min="6413" max="6653" width="9.140625" style="229"/>
    <col min="6654" max="6654" width="4.42578125" style="229" customWidth="1"/>
    <col min="6655" max="6655" width="11.5703125" style="229" customWidth="1"/>
    <col min="6656" max="6656" width="40.42578125" style="229" customWidth="1"/>
    <col min="6657" max="6657" width="5.5703125" style="229" customWidth="1"/>
    <col min="6658" max="6658" width="8.5703125" style="229" customWidth="1"/>
    <col min="6659" max="6659" width="9.85546875" style="229" customWidth="1"/>
    <col min="6660" max="6662" width="13.85546875" style="229" customWidth="1"/>
    <col min="6663" max="6663" width="9.140625" style="229"/>
    <col min="6664" max="6664" width="21.85546875" style="229" customWidth="1"/>
    <col min="6665" max="6665" width="9.42578125" style="229" bestFit="1" customWidth="1"/>
    <col min="6666" max="6666" width="9.140625" style="229"/>
    <col min="6667" max="6667" width="75.42578125" style="229" customWidth="1"/>
    <col min="6668" max="6668" width="45.28515625" style="229" customWidth="1"/>
    <col min="6669" max="6909" width="9.140625" style="229"/>
    <col min="6910" max="6910" width="4.42578125" style="229" customWidth="1"/>
    <col min="6911" max="6911" width="11.5703125" style="229" customWidth="1"/>
    <col min="6912" max="6912" width="40.42578125" style="229" customWidth="1"/>
    <col min="6913" max="6913" width="5.5703125" style="229" customWidth="1"/>
    <col min="6914" max="6914" width="8.5703125" style="229" customWidth="1"/>
    <col min="6915" max="6915" width="9.85546875" style="229" customWidth="1"/>
    <col min="6916" max="6918" width="13.85546875" style="229" customWidth="1"/>
    <col min="6919" max="6919" width="9.140625" style="229"/>
    <col min="6920" max="6920" width="21.85546875" style="229" customWidth="1"/>
    <col min="6921" max="6921" width="9.42578125" style="229" bestFit="1" customWidth="1"/>
    <col min="6922" max="6922" width="9.140625" style="229"/>
    <col min="6923" max="6923" width="75.42578125" style="229" customWidth="1"/>
    <col min="6924" max="6924" width="45.28515625" style="229" customWidth="1"/>
    <col min="6925" max="7165" width="9.140625" style="229"/>
    <col min="7166" max="7166" width="4.42578125" style="229" customWidth="1"/>
    <col min="7167" max="7167" width="11.5703125" style="229" customWidth="1"/>
    <col min="7168" max="7168" width="40.42578125" style="229" customWidth="1"/>
    <col min="7169" max="7169" width="5.5703125" style="229" customWidth="1"/>
    <col min="7170" max="7170" width="8.5703125" style="229" customWidth="1"/>
    <col min="7171" max="7171" width="9.85546875" style="229" customWidth="1"/>
    <col min="7172" max="7174" width="13.85546875" style="229" customWidth="1"/>
    <col min="7175" max="7175" width="9.140625" style="229"/>
    <col min="7176" max="7176" width="21.85546875" style="229" customWidth="1"/>
    <col min="7177" max="7177" width="9.42578125" style="229" bestFit="1" customWidth="1"/>
    <col min="7178" max="7178" width="9.140625" style="229"/>
    <col min="7179" max="7179" width="75.42578125" style="229" customWidth="1"/>
    <col min="7180" max="7180" width="45.28515625" style="229" customWidth="1"/>
    <col min="7181" max="7421" width="9.140625" style="229"/>
    <col min="7422" max="7422" width="4.42578125" style="229" customWidth="1"/>
    <col min="7423" max="7423" width="11.5703125" style="229" customWidth="1"/>
    <col min="7424" max="7424" width="40.42578125" style="229" customWidth="1"/>
    <col min="7425" max="7425" width="5.5703125" style="229" customWidth="1"/>
    <col min="7426" max="7426" width="8.5703125" style="229" customWidth="1"/>
    <col min="7427" max="7427" width="9.85546875" style="229" customWidth="1"/>
    <col min="7428" max="7430" width="13.85546875" style="229" customWidth="1"/>
    <col min="7431" max="7431" width="9.140625" style="229"/>
    <col min="7432" max="7432" width="21.85546875" style="229" customWidth="1"/>
    <col min="7433" max="7433" width="9.42578125" style="229" bestFit="1" customWidth="1"/>
    <col min="7434" max="7434" width="9.140625" style="229"/>
    <col min="7435" max="7435" width="75.42578125" style="229" customWidth="1"/>
    <col min="7436" max="7436" width="45.28515625" style="229" customWidth="1"/>
    <col min="7437" max="7677" width="9.140625" style="229"/>
    <col min="7678" max="7678" width="4.42578125" style="229" customWidth="1"/>
    <col min="7679" max="7679" width="11.5703125" style="229" customWidth="1"/>
    <col min="7680" max="7680" width="40.42578125" style="229" customWidth="1"/>
    <col min="7681" max="7681" width="5.5703125" style="229" customWidth="1"/>
    <col min="7682" max="7682" width="8.5703125" style="229" customWidth="1"/>
    <col min="7683" max="7683" width="9.85546875" style="229" customWidth="1"/>
    <col min="7684" max="7686" width="13.85546875" style="229" customWidth="1"/>
    <col min="7687" max="7687" width="9.140625" style="229"/>
    <col min="7688" max="7688" width="21.85546875" style="229" customWidth="1"/>
    <col min="7689" max="7689" width="9.42578125" style="229" bestFit="1" customWidth="1"/>
    <col min="7690" max="7690" width="9.140625" style="229"/>
    <col min="7691" max="7691" width="75.42578125" style="229" customWidth="1"/>
    <col min="7692" max="7692" width="45.28515625" style="229" customWidth="1"/>
    <col min="7693" max="7933" width="9.140625" style="229"/>
    <col min="7934" max="7934" width="4.42578125" style="229" customWidth="1"/>
    <col min="7935" max="7935" width="11.5703125" style="229" customWidth="1"/>
    <col min="7936" max="7936" width="40.42578125" style="229" customWidth="1"/>
    <col min="7937" max="7937" width="5.5703125" style="229" customWidth="1"/>
    <col min="7938" max="7938" width="8.5703125" style="229" customWidth="1"/>
    <col min="7939" max="7939" width="9.85546875" style="229" customWidth="1"/>
    <col min="7940" max="7942" width="13.85546875" style="229" customWidth="1"/>
    <col min="7943" max="7943" width="9.140625" style="229"/>
    <col min="7944" max="7944" width="21.85546875" style="229" customWidth="1"/>
    <col min="7945" max="7945" width="9.42578125" style="229" bestFit="1" customWidth="1"/>
    <col min="7946" max="7946" width="9.140625" style="229"/>
    <col min="7947" max="7947" width="75.42578125" style="229" customWidth="1"/>
    <col min="7948" max="7948" width="45.28515625" style="229" customWidth="1"/>
    <col min="7949" max="8189" width="9.140625" style="229"/>
    <col min="8190" max="8190" width="4.42578125" style="229" customWidth="1"/>
    <col min="8191" max="8191" width="11.5703125" style="229" customWidth="1"/>
    <col min="8192" max="8192" width="40.42578125" style="229" customWidth="1"/>
    <col min="8193" max="8193" width="5.5703125" style="229" customWidth="1"/>
    <col min="8194" max="8194" width="8.5703125" style="229" customWidth="1"/>
    <col min="8195" max="8195" width="9.85546875" style="229" customWidth="1"/>
    <col min="8196" max="8198" width="13.85546875" style="229" customWidth="1"/>
    <col min="8199" max="8199" width="9.140625" style="229"/>
    <col min="8200" max="8200" width="21.85546875" style="229" customWidth="1"/>
    <col min="8201" max="8201" width="9.42578125" style="229" bestFit="1" customWidth="1"/>
    <col min="8202" max="8202" width="9.140625" style="229"/>
    <col min="8203" max="8203" width="75.42578125" style="229" customWidth="1"/>
    <col min="8204" max="8204" width="45.28515625" style="229" customWidth="1"/>
    <col min="8205" max="8445" width="9.140625" style="229"/>
    <col min="8446" max="8446" width="4.42578125" style="229" customWidth="1"/>
    <col min="8447" max="8447" width="11.5703125" style="229" customWidth="1"/>
    <col min="8448" max="8448" width="40.42578125" style="229" customWidth="1"/>
    <col min="8449" max="8449" width="5.5703125" style="229" customWidth="1"/>
    <col min="8450" max="8450" width="8.5703125" style="229" customWidth="1"/>
    <col min="8451" max="8451" width="9.85546875" style="229" customWidth="1"/>
    <col min="8452" max="8454" width="13.85546875" style="229" customWidth="1"/>
    <col min="8455" max="8455" width="9.140625" style="229"/>
    <col min="8456" max="8456" width="21.85546875" style="229" customWidth="1"/>
    <col min="8457" max="8457" width="9.42578125" style="229" bestFit="1" customWidth="1"/>
    <col min="8458" max="8458" width="9.140625" style="229"/>
    <col min="8459" max="8459" width="75.42578125" style="229" customWidth="1"/>
    <col min="8460" max="8460" width="45.28515625" style="229" customWidth="1"/>
    <col min="8461" max="8701" width="9.140625" style="229"/>
    <col min="8702" max="8702" width="4.42578125" style="229" customWidth="1"/>
    <col min="8703" max="8703" width="11.5703125" style="229" customWidth="1"/>
    <col min="8704" max="8704" width="40.42578125" style="229" customWidth="1"/>
    <col min="8705" max="8705" width="5.5703125" style="229" customWidth="1"/>
    <col min="8706" max="8706" width="8.5703125" style="229" customWidth="1"/>
    <col min="8707" max="8707" width="9.85546875" style="229" customWidth="1"/>
    <col min="8708" max="8710" width="13.85546875" style="229" customWidth="1"/>
    <col min="8711" max="8711" width="9.140625" style="229"/>
    <col min="8712" max="8712" width="21.85546875" style="229" customWidth="1"/>
    <col min="8713" max="8713" width="9.42578125" style="229" bestFit="1" customWidth="1"/>
    <col min="8714" max="8714" width="9.140625" style="229"/>
    <col min="8715" max="8715" width="75.42578125" style="229" customWidth="1"/>
    <col min="8716" max="8716" width="45.28515625" style="229" customWidth="1"/>
    <col min="8717" max="8957" width="9.140625" style="229"/>
    <col min="8958" max="8958" width="4.42578125" style="229" customWidth="1"/>
    <col min="8959" max="8959" width="11.5703125" style="229" customWidth="1"/>
    <col min="8960" max="8960" width="40.42578125" style="229" customWidth="1"/>
    <col min="8961" max="8961" width="5.5703125" style="229" customWidth="1"/>
    <col min="8962" max="8962" width="8.5703125" style="229" customWidth="1"/>
    <col min="8963" max="8963" width="9.85546875" style="229" customWidth="1"/>
    <col min="8964" max="8966" width="13.85546875" style="229" customWidth="1"/>
    <col min="8967" max="8967" width="9.140625" style="229"/>
    <col min="8968" max="8968" width="21.85546875" style="229" customWidth="1"/>
    <col min="8969" max="8969" width="9.42578125" style="229" bestFit="1" customWidth="1"/>
    <col min="8970" max="8970" width="9.140625" style="229"/>
    <col min="8971" max="8971" width="75.42578125" style="229" customWidth="1"/>
    <col min="8972" max="8972" width="45.28515625" style="229" customWidth="1"/>
    <col min="8973" max="9213" width="9.140625" style="229"/>
    <col min="9214" max="9214" width="4.42578125" style="229" customWidth="1"/>
    <col min="9215" max="9215" width="11.5703125" style="229" customWidth="1"/>
    <col min="9216" max="9216" width="40.42578125" style="229" customWidth="1"/>
    <col min="9217" max="9217" width="5.5703125" style="229" customWidth="1"/>
    <col min="9218" max="9218" width="8.5703125" style="229" customWidth="1"/>
    <col min="9219" max="9219" width="9.85546875" style="229" customWidth="1"/>
    <col min="9220" max="9222" width="13.85546875" style="229" customWidth="1"/>
    <col min="9223" max="9223" width="9.140625" style="229"/>
    <col min="9224" max="9224" width="21.85546875" style="229" customWidth="1"/>
    <col min="9225" max="9225" width="9.42578125" style="229" bestFit="1" customWidth="1"/>
    <col min="9226" max="9226" width="9.140625" style="229"/>
    <col min="9227" max="9227" width="75.42578125" style="229" customWidth="1"/>
    <col min="9228" max="9228" width="45.28515625" style="229" customWidth="1"/>
    <col min="9229" max="9469" width="9.140625" style="229"/>
    <col min="9470" max="9470" width="4.42578125" style="229" customWidth="1"/>
    <col min="9471" max="9471" width="11.5703125" style="229" customWidth="1"/>
    <col min="9472" max="9472" width="40.42578125" style="229" customWidth="1"/>
    <col min="9473" max="9473" width="5.5703125" style="229" customWidth="1"/>
    <col min="9474" max="9474" width="8.5703125" style="229" customWidth="1"/>
    <col min="9475" max="9475" width="9.85546875" style="229" customWidth="1"/>
    <col min="9476" max="9478" width="13.85546875" style="229" customWidth="1"/>
    <col min="9479" max="9479" width="9.140625" style="229"/>
    <col min="9480" max="9480" width="21.85546875" style="229" customWidth="1"/>
    <col min="9481" max="9481" width="9.42578125" style="229" bestFit="1" customWidth="1"/>
    <col min="9482" max="9482" width="9.140625" style="229"/>
    <col min="9483" max="9483" width="75.42578125" style="229" customWidth="1"/>
    <col min="9484" max="9484" width="45.28515625" style="229" customWidth="1"/>
    <col min="9485" max="9725" width="9.140625" style="229"/>
    <col min="9726" max="9726" width="4.42578125" style="229" customWidth="1"/>
    <col min="9727" max="9727" width="11.5703125" style="229" customWidth="1"/>
    <col min="9728" max="9728" width="40.42578125" style="229" customWidth="1"/>
    <col min="9729" max="9729" width="5.5703125" style="229" customWidth="1"/>
    <col min="9730" max="9730" width="8.5703125" style="229" customWidth="1"/>
    <col min="9731" max="9731" width="9.85546875" style="229" customWidth="1"/>
    <col min="9732" max="9734" width="13.85546875" style="229" customWidth="1"/>
    <col min="9735" max="9735" width="9.140625" style="229"/>
    <col min="9736" max="9736" width="21.85546875" style="229" customWidth="1"/>
    <col min="9737" max="9737" width="9.42578125" style="229" bestFit="1" customWidth="1"/>
    <col min="9738" max="9738" width="9.140625" style="229"/>
    <col min="9739" max="9739" width="75.42578125" style="229" customWidth="1"/>
    <col min="9740" max="9740" width="45.28515625" style="229" customWidth="1"/>
    <col min="9741" max="9981" width="9.140625" style="229"/>
    <col min="9982" max="9982" width="4.42578125" style="229" customWidth="1"/>
    <col min="9983" max="9983" width="11.5703125" style="229" customWidth="1"/>
    <col min="9984" max="9984" width="40.42578125" style="229" customWidth="1"/>
    <col min="9985" max="9985" width="5.5703125" style="229" customWidth="1"/>
    <col min="9986" max="9986" width="8.5703125" style="229" customWidth="1"/>
    <col min="9987" max="9987" width="9.85546875" style="229" customWidth="1"/>
    <col min="9988" max="9990" width="13.85546875" style="229" customWidth="1"/>
    <col min="9991" max="9991" width="9.140625" style="229"/>
    <col min="9992" max="9992" width="21.85546875" style="229" customWidth="1"/>
    <col min="9993" max="9993" width="9.42578125" style="229" bestFit="1" customWidth="1"/>
    <col min="9994" max="9994" width="9.140625" style="229"/>
    <col min="9995" max="9995" width="75.42578125" style="229" customWidth="1"/>
    <col min="9996" max="9996" width="45.28515625" style="229" customWidth="1"/>
    <col min="9997" max="10237" width="9.140625" style="229"/>
    <col min="10238" max="10238" width="4.42578125" style="229" customWidth="1"/>
    <col min="10239" max="10239" width="11.5703125" style="229" customWidth="1"/>
    <col min="10240" max="10240" width="40.42578125" style="229" customWidth="1"/>
    <col min="10241" max="10241" width="5.5703125" style="229" customWidth="1"/>
    <col min="10242" max="10242" width="8.5703125" style="229" customWidth="1"/>
    <col min="10243" max="10243" width="9.85546875" style="229" customWidth="1"/>
    <col min="10244" max="10246" width="13.85546875" style="229" customWidth="1"/>
    <col min="10247" max="10247" width="9.140625" style="229"/>
    <col min="10248" max="10248" width="21.85546875" style="229" customWidth="1"/>
    <col min="10249" max="10249" width="9.42578125" style="229" bestFit="1" customWidth="1"/>
    <col min="10250" max="10250" width="9.140625" style="229"/>
    <col min="10251" max="10251" width="75.42578125" style="229" customWidth="1"/>
    <col min="10252" max="10252" width="45.28515625" style="229" customWidth="1"/>
    <col min="10253" max="10493" width="9.140625" style="229"/>
    <col min="10494" max="10494" width="4.42578125" style="229" customWidth="1"/>
    <col min="10495" max="10495" width="11.5703125" style="229" customWidth="1"/>
    <col min="10496" max="10496" width="40.42578125" style="229" customWidth="1"/>
    <col min="10497" max="10497" width="5.5703125" style="229" customWidth="1"/>
    <col min="10498" max="10498" width="8.5703125" style="229" customWidth="1"/>
    <col min="10499" max="10499" width="9.85546875" style="229" customWidth="1"/>
    <col min="10500" max="10502" width="13.85546875" style="229" customWidth="1"/>
    <col min="10503" max="10503" width="9.140625" style="229"/>
    <col min="10504" max="10504" width="21.85546875" style="229" customWidth="1"/>
    <col min="10505" max="10505" width="9.42578125" style="229" bestFit="1" customWidth="1"/>
    <col min="10506" max="10506" width="9.140625" style="229"/>
    <col min="10507" max="10507" width="75.42578125" style="229" customWidth="1"/>
    <col min="10508" max="10508" width="45.28515625" style="229" customWidth="1"/>
    <col min="10509" max="10749" width="9.140625" style="229"/>
    <col min="10750" max="10750" width="4.42578125" style="229" customWidth="1"/>
    <col min="10751" max="10751" width="11.5703125" style="229" customWidth="1"/>
    <col min="10752" max="10752" width="40.42578125" style="229" customWidth="1"/>
    <col min="10753" max="10753" width="5.5703125" style="229" customWidth="1"/>
    <col min="10754" max="10754" width="8.5703125" style="229" customWidth="1"/>
    <col min="10755" max="10755" width="9.85546875" style="229" customWidth="1"/>
    <col min="10756" max="10758" width="13.85546875" style="229" customWidth="1"/>
    <col min="10759" max="10759" width="9.140625" style="229"/>
    <col min="10760" max="10760" width="21.85546875" style="229" customWidth="1"/>
    <col min="10761" max="10761" width="9.42578125" style="229" bestFit="1" customWidth="1"/>
    <col min="10762" max="10762" width="9.140625" style="229"/>
    <col min="10763" max="10763" width="75.42578125" style="229" customWidth="1"/>
    <col min="10764" max="10764" width="45.28515625" style="229" customWidth="1"/>
    <col min="10765" max="11005" width="9.140625" style="229"/>
    <col min="11006" max="11006" width="4.42578125" style="229" customWidth="1"/>
    <col min="11007" max="11007" width="11.5703125" style="229" customWidth="1"/>
    <col min="11008" max="11008" width="40.42578125" style="229" customWidth="1"/>
    <col min="11009" max="11009" width="5.5703125" style="229" customWidth="1"/>
    <col min="11010" max="11010" width="8.5703125" style="229" customWidth="1"/>
    <col min="11011" max="11011" width="9.85546875" style="229" customWidth="1"/>
    <col min="11012" max="11014" width="13.85546875" style="229" customWidth="1"/>
    <col min="11015" max="11015" width="9.140625" style="229"/>
    <col min="11016" max="11016" width="21.85546875" style="229" customWidth="1"/>
    <col min="11017" max="11017" width="9.42578125" style="229" bestFit="1" customWidth="1"/>
    <col min="11018" max="11018" width="9.140625" style="229"/>
    <col min="11019" max="11019" width="75.42578125" style="229" customWidth="1"/>
    <col min="11020" max="11020" width="45.28515625" style="229" customWidth="1"/>
    <col min="11021" max="11261" width="9.140625" style="229"/>
    <col min="11262" max="11262" width="4.42578125" style="229" customWidth="1"/>
    <col min="11263" max="11263" width="11.5703125" style="229" customWidth="1"/>
    <col min="11264" max="11264" width="40.42578125" style="229" customWidth="1"/>
    <col min="11265" max="11265" width="5.5703125" style="229" customWidth="1"/>
    <col min="11266" max="11266" width="8.5703125" style="229" customWidth="1"/>
    <col min="11267" max="11267" width="9.85546875" style="229" customWidth="1"/>
    <col min="11268" max="11270" width="13.85546875" style="229" customWidth="1"/>
    <col min="11271" max="11271" width="9.140625" style="229"/>
    <col min="11272" max="11272" width="21.85546875" style="229" customWidth="1"/>
    <col min="11273" max="11273" width="9.42578125" style="229" bestFit="1" customWidth="1"/>
    <col min="11274" max="11274" width="9.140625" style="229"/>
    <col min="11275" max="11275" width="75.42578125" style="229" customWidth="1"/>
    <col min="11276" max="11276" width="45.28515625" style="229" customWidth="1"/>
    <col min="11277" max="11517" width="9.140625" style="229"/>
    <col min="11518" max="11518" width="4.42578125" style="229" customWidth="1"/>
    <col min="11519" max="11519" width="11.5703125" style="229" customWidth="1"/>
    <col min="11520" max="11520" width="40.42578125" style="229" customWidth="1"/>
    <col min="11521" max="11521" width="5.5703125" style="229" customWidth="1"/>
    <col min="11522" max="11522" width="8.5703125" style="229" customWidth="1"/>
    <col min="11523" max="11523" width="9.85546875" style="229" customWidth="1"/>
    <col min="11524" max="11526" width="13.85546875" style="229" customWidth="1"/>
    <col min="11527" max="11527" width="9.140625" style="229"/>
    <col min="11528" max="11528" width="21.85546875" style="229" customWidth="1"/>
    <col min="11529" max="11529" width="9.42578125" style="229" bestFit="1" customWidth="1"/>
    <col min="11530" max="11530" width="9.140625" style="229"/>
    <col min="11531" max="11531" width="75.42578125" style="229" customWidth="1"/>
    <col min="11532" max="11532" width="45.28515625" style="229" customWidth="1"/>
    <col min="11533" max="11773" width="9.140625" style="229"/>
    <col min="11774" max="11774" width="4.42578125" style="229" customWidth="1"/>
    <col min="11775" max="11775" width="11.5703125" style="229" customWidth="1"/>
    <col min="11776" max="11776" width="40.42578125" style="229" customWidth="1"/>
    <col min="11777" max="11777" width="5.5703125" style="229" customWidth="1"/>
    <col min="11778" max="11778" width="8.5703125" style="229" customWidth="1"/>
    <col min="11779" max="11779" width="9.85546875" style="229" customWidth="1"/>
    <col min="11780" max="11782" width="13.85546875" style="229" customWidth="1"/>
    <col min="11783" max="11783" width="9.140625" style="229"/>
    <col min="11784" max="11784" width="21.85546875" style="229" customWidth="1"/>
    <col min="11785" max="11785" width="9.42578125" style="229" bestFit="1" customWidth="1"/>
    <col min="11786" max="11786" width="9.140625" style="229"/>
    <col min="11787" max="11787" width="75.42578125" style="229" customWidth="1"/>
    <col min="11788" max="11788" width="45.28515625" style="229" customWidth="1"/>
    <col min="11789" max="12029" width="9.140625" style="229"/>
    <col min="12030" max="12030" width="4.42578125" style="229" customWidth="1"/>
    <col min="12031" max="12031" width="11.5703125" style="229" customWidth="1"/>
    <col min="12032" max="12032" width="40.42578125" style="229" customWidth="1"/>
    <col min="12033" max="12033" width="5.5703125" style="229" customWidth="1"/>
    <col min="12034" max="12034" width="8.5703125" style="229" customWidth="1"/>
    <col min="12035" max="12035" width="9.85546875" style="229" customWidth="1"/>
    <col min="12036" max="12038" width="13.85546875" style="229" customWidth="1"/>
    <col min="12039" max="12039" width="9.140625" style="229"/>
    <col min="12040" max="12040" width="21.85546875" style="229" customWidth="1"/>
    <col min="12041" max="12041" width="9.42578125" style="229" bestFit="1" customWidth="1"/>
    <col min="12042" max="12042" width="9.140625" style="229"/>
    <col min="12043" max="12043" width="75.42578125" style="229" customWidth="1"/>
    <col min="12044" max="12044" width="45.28515625" style="229" customWidth="1"/>
    <col min="12045" max="12285" width="9.140625" style="229"/>
    <col min="12286" max="12286" width="4.42578125" style="229" customWidth="1"/>
    <col min="12287" max="12287" width="11.5703125" style="229" customWidth="1"/>
    <col min="12288" max="12288" width="40.42578125" style="229" customWidth="1"/>
    <col min="12289" max="12289" width="5.5703125" style="229" customWidth="1"/>
    <col min="12290" max="12290" width="8.5703125" style="229" customWidth="1"/>
    <col min="12291" max="12291" width="9.85546875" style="229" customWidth="1"/>
    <col min="12292" max="12294" width="13.85546875" style="229" customWidth="1"/>
    <col min="12295" max="12295" width="9.140625" style="229"/>
    <col min="12296" max="12296" width="21.85546875" style="229" customWidth="1"/>
    <col min="12297" max="12297" width="9.42578125" style="229" bestFit="1" customWidth="1"/>
    <col min="12298" max="12298" width="9.140625" style="229"/>
    <col min="12299" max="12299" width="75.42578125" style="229" customWidth="1"/>
    <col min="12300" max="12300" width="45.28515625" style="229" customWidth="1"/>
    <col min="12301" max="12541" width="9.140625" style="229"/>
    <col min="12542" max="12542" width="4.42578125" style="229" customWidth="1"/>
    <col min="12543" max="12543" width="11.5703125" style="229" customWidth="1"/>
    <col min="12544" max="12544" width="40.42578125" style="229" customWidth="1"/>
    <col min="12545" max="12545" width="5.5703125" style="229" customWidth="1"/>
    <col min="12546" max="12546" width="8.5703125" style="229" customWidth="1"/>
    <col min="12547" max="12547" width="9.85546875" style="229" customWidth="1"/>
    <col min="12548" max="12550" width="13.85546875" style="229" customWidth="1"/>
    <col min="12551" max="12551" width="9.140625" style="229"/>
    <col min="12552" max="12552" width="21.85546875" style="229" customWidth="1"/>
    <col min="12553" max="12553" width="9.42578125" style="229" bestFit="1" customWidth="1"/>
    <col min="12554" max="12554" width="9.140625" style="229"/>
    <col min="12555" max="12555" width="75.42578125" style="229" customWidth="1"/>
    <col min="12556" max="12556" width="45.28515625" style="229" customWidth="1"/>
    <col min="12557" max="12797" width="9.140625" style="229"/>
    <col min="12798" max="12798" width="4.42578125" style="229" customWidth="1"/>
    <col min="12799" max="12799" width="11.5703125" style="229" customWidth="1"/>
    <col min="12800" max="12800" width="40.42578125" style="229" customWidth="1"/>
    <col min="12801" max="12801" width="5.5703125" style="229" customWidth="1"/>
    <col min="12802" max="12802" width="8.5703125" style="229" customWidth="1"/>
    <col min="12803" max="12803" width="9.85546875" style="229" customWidth="1"/>
    <col min="12804" max="12806" width="13.85546875" style="229" customWidth="1"/>
    <col min="12807" max="12807" width="9.140625" style="229"/>
    <col min="12808" max="12808" width="21.85546875" style="229" customWidth="1"/>
    <col min="12809" max="12809" width="9.42578125" style="229" bestFit="1" customWidth="1"/>
    <col min="12810" max="12810" width="9.140625" style="229"/>
    <col min="12811" max="12811" width="75.42578125" style="229" customWidth="1"/>
    <col min="12812" max="12812" width="45.28515625" style="229" customWidth="1"/>
    <col min="12813" max="13053" width="9.140625" style="229"/>
    <col min="13054" max="13054" width="4.42578125" style="229" customWidth="1"/>
    <col min="13055" max="13055" width="11.5703125" style="229" customWidth="1"/>
    <col min="13056" max="13056" width="40.42578125" style="229" customWidth="1"/>
    <col min="13057" max="13057" width="5.5703125" style="229" customWidth="1"/>
    <col min="13058" max="13058" width="8.5703125" style="229" customWidth="1"/>
    <col min="13059" max="13059" width="9.85546875" style="229" customWidth="1"/>
    <col min="13060" max="13062" width="13.85546875" style="229" customWidth="1"/>
    <col min="13063" max="13063" width="9.140625" style="229"/>
    <col min="13064" max="13064" width="21.85546875" style="229" customWidth="1"/>
    <col min="13065" max="13065" width="9.42578125" style="229" bestFit="1" customWidth="1"/>
    <col min="13066" max="13066" width="9.140625" style="229"/>
    <col min="13067" max="13067" width="75.42578125" style="229" customWidth="1"/>
    <col min="13068" max="13068" width="45.28515625" style="229" customWidth="1"/>
    <col min="13069" max="13309" width="9.140625" style="229"/>
    <col min="13310" max="13310" width="4.42578125" style="229" customWidth="1"/>
    <col min="13311" max="13311" width="11.5703125" style="229" customWidth="1"/>
    <col min="13312" max="13312" width="40.42578125" style="229" customWidth="1"/>
    <col min="13313" max="13313" width="5.5703125" style="229" customWidth="1"/>
    <col min="13314" max="13314" width="8.5703125" style="229" customWidth="1"/>
    <col min="13315" max="13315" width="9.85546875" style="229" customWidth="1"/>
    <col min="13316" max="13318" width="13.85546875" style="229" customWidth="1"/>
    <col min="13319" max="13319" width="9.140625" style="229"/>
    <col min="13320" max="13320" width="21.85546875" style="229" customWidth="1"/>
    <col min="13321" max="13321" width="9.42578125" style="229" bestFit="1" customWidth="1"/>
    <col min="13322" max="13322" width="9.140625" style="229"/>
    <col min="13323" max="13323" width="75.42578125" style="229" customWidth="1"/>
    <col min="13324" max="13324" width="45.28515625" style="229" customWidth="1"/>
    <col min="13325" max="13565" width="9.140625" style="229"/>
    <col min="13566" max="13566" width="4.42578125" style="229" customWidth="1"/>
    <col min="13567" max="13567" width="11.5703125" style="229" customWidth="1"/>
    <col min="13568" max="13568" width="40.42578125" style="229" customWidth="1"/>
    <col min="13569" max="13569" width="5.5703125" style="229" customWidth="1"/>
    <col min="13570" max="13570" width="8.5703125" style="229" customWidth="1"/>
    <col min="13571" max="13571" width="9.85546875" style="229" customWidth="1"/>
    <col min="13572" max="13574" width="13.85546875" style="229" customWidth="1"/>
    <col min="13575" max="13575" width="9.140625" style="229"/>
    <col min="13576" max="13576" width="21.85546875" style="229" customWidth="1"/>
    <col min="13577" max="13577" width="9.42578125" style="229" bestFit="1" customWidth="1"/>
    <col min="13578" max="13578" width="9.140625" style="229"/>
    <col min="13579" max="13579" width="75.42578125" style="229" customWidth="1"/>
    <col min="13580" max="13580" width="45.28515625" style="229" customWidth="1"/>
    <col min="13581" max="13821" width="9.140625" style="229"/>
    <col min="13822" max="13822" width="4.42578125" style="229" customWidth="1"/>
    <col min="13823" max="13823" width="11.5703125" style="229" customWidth="1"/>
    <col min="13824" max="13824" width="40.42578125" style="229" customWidth="1"/>
    <col min="13825" max="13825" width="5.5703125" style="229" customWidth="1"/>
    <col min="13826" max="13826" width="8.5703125" style="229" customWidth="1"/>
    <col min="13827" max="13827" width="9.85546875" style="229" customWidth="1"/>
    <col min="13828" max="13830" width="13.85546875" style="229" customWidth="1"/>
    <col min="13831" max="13831" width="9.140625" style="229"/>
    <col min="13832" max="13832" width="21.85546875" style="229" customWidth="1"/>
    <col min="13833" max="13833" width="9.42578125" style="229" bestFit="1" customWidth="1"/>
    <col min="13834" max="13834" width="9.140625" style="229"/>
    <col min="13835" max="13835" width="75.42578125" style="229" customWidth="1"/>
    <col min="13836" max="13836" width="45.28515625" style="229" customWidth="1"/>
    <col min="13837" max="14077" width="9.140625" style="229"/>
    <col min="14078" max="14078" width="4.42578125" style="229" customWidth="1"/>
    <col min="14079" max="14079" width="11.5703125" style="229" customWidth="1"/>
    <col min="14080" max="14080" width="40.42578125" style="229" customWidth="1"/>
    <col min="14081" max="14081" width="5.5703125" style="229" customWidth="1"/>
    <col min="14082" max="14082" width="8.5703125" style="229" customWidth="1"/>
    <col min="14083" max="14083" width="9.85546875" style="229" customWidth="1"/>
    <col min="14084" max="14086" width="13.85546875" style="229" customWidth="1"/>
    <col min="14087" max="14087" width="9.140625" style="229"/>
    <col min="14088" max="14088" width="21.85546875" style="229" customWidth="1"/>
    <col min="14089" max="14089" width="9.42578125" style="229" bestFit="1" customWidth="1"/>
    <col min="14090" max="14090" width="9.140625" style="229"/>
    <col min="14091" max="14091" width="75.42578125" style="229" customWidth="1"/>
    <col min="14092" max="14092" width="45.28515625" style="229" customWidth="1"/>
    <col min="14093" max="14333" width="9.140625" style="229"/>
    <col min="14334" max="14334" width="4.42578125" style="229" customWidth="1"/>
    <col min="14335" max="14335" width="11.5703125" style="229" customWidth="1"/>
    <col min="14336" max="14336" width="40.42578125" style="229" customWidth="1"/>
    <col min="14337" max="14337" width="5.5703125" style="229" customWidth="1"/>
    <col min="14338" max="14338" width="8.5703125" style="229" customWidth="1"/>
    <col min="14339" max="14339" width="9.85546875" style="229" customWidth="1"/>
    <col min="14340" max="14342" width="13.85546875" style="229" customWidth="1"/>
    <col min="14343" max="14343" width="9.140625" style="229"/>
    <col min="14344" max="14344" width="21.85546875" style="229" customWidth="1"/>
    <col min="14345" max="14345" width="9.42578125" style="229" bestFit="1" customWidth="1"/>
    <col min="14346" max="14346" width="9.140625" style="229"/>
    <col min="14347" max="14347" width="75.42578125" style="229" customWidth="1"/>
    <col min="14348" max="14348" width="45.28515625" style="229" customWidth="1"/>
    <col min="14349" max="14589" width="9.140625" style="229"/>
    <col min="14590" max="14590" width="4.42578125" style="229" customWidth="1"/>
    <col min="14591" max="14591" width="11.5703125" style="229" customWidth="1"/>
    <col min="14592" max="14592" width="40.42578125" style="229" customWidth="1"/>
    <col min="14593" max="14593" width="5.5703125" style="229" customWidth="1"/>
    <col min="14594" max="14594" width="8.5703125" style="229" customWidth="1"/>
    <col min="14595" max="14595" width="9.85546875" style="229" customWidth="1"/>
    <col min="14596" max="14598" width="13.85546875" style="229" customWidth="1"/>
    <col min="14599" max="14599" width="9.140625" style="229"/>
    <col min="14600" max="14600" width="21.85546875" style="229" customWidth="1"/>
    <col min="14601" max="14601" width="9.42578125" style="229" bestFit="1" customWidth="1"/>
    <col min="14602" max="14602" width="9.140625" style="229"/>
    <col min="14603" max="14603" width="75.42578125" style="229" customWidth="1"/>
    <col min="14604" max="14604" width="45.28515625" style="229" customWidth="1"/>
    <col min="14605" max="14845" width="9.140625" style="229"/>
    <col min="14846" max="14846" width="4.42578125" style="229" customWidth="1"/>
    <col min="14847" max="14847" width="11.5703125" style="229" customWidth="1"/>
    <col min="14848" max="14848" width="40.42578125" style="229" customWidth="1"/>
    <col min="14849" max="14849" width="5.5703125" style="229" customWidth="1"/>
    <col min="14850" max="14850" width="8.5703125" style="229" customWidth="1"/>
    <col min="14851" max="14851" width="9.85546875" style="229" customWidth="1"/>
    <col min="14852" max="14854" width="13.85546875" style="229" customWidth="1"/>
    <col min="14855" max="14855" width="9.140625" style="229"/>
    <col min="14856" max="14856" width="21.85546875" style="229" customWidth="1"/>
    <col min="14857" max="14857" width="9.42578125" style="229" bestFit="1" customWidth="1"/>
    <col min="14858" max="14858" width="9.140625" style="229"/>
    <col min="14859" max="14859" width="75.42578125" style="229" customWidth="1"/>
    <col min="14860" max="14860" width="45.28515625" style="229" customWidth="1"/>
    <col min="14861" max="15101" width="9.140625" style="229"/>
    <col min="15102" max="15102" width="4.42578125" style="229" customWidth="1"/>
    <col min="15103" max="15103" width="11.5703125" style="229" customWidth="1"/>
    <col min="15104" max="15104" width="40.42578125" style="229" customWidth="1"/>
    <col min="15105" max="15105" width="5.5703125" style="229" customWidth="1"/>
    <col min="15106" max="15106" width="8.5703125" style="229" customWidth="1"/>
    <col min="15107" max="15107" width="9.85546875" style="229" customWidth="1"/>
    <col min="15108" max="15110" width="13.85546875" style="229" customWidth="1"/>
    <col min="15111" max="15111" width="9.140625" style="229"/>
    <col min="15112" max="15112" width="21.85546875" style="229" customWidth="1"/>
    <col min="15113" max="15113" width="9.42578125" style="229" bestFit="1" customWidth="1"/>
    <col min="15114" max="15114" width="9.140625" style="229"/>
    <col min="15115" max="15115" width="75.42578125" style="229" customWidth="1"/>
    <col min="15116" max="15116" width="45.28515625" style="229" customWidth="1"/>
    <col min="15117" max="15357" width="9.140625" style="229"/>
    <col min="15358" max="15358" width="4.42578125" style="229" customWidth="1"/>
    <col min="15359" max="15359" width="11.5703125" style="229" customWidth="1"/>
    <col min="15360" max="15360" width="40.42578125" style="229" customWidth="1"/>
    <col min="15361" max="15361" width="5.5703125" style="229" customWidth="1"/>
    <col min="15362" max="15362" width="8.5703125" style="229" customWidth="1"/>
    <col min="15363" max="15363" width="9.85546875" style="229" customWidth="1"/>
    <col min="15364" max="15366" width="13.85546875" style="229" customWidth="1"/>
    <col min="15367" max="15367" width="9.140625" style="229"/>
    <col min="15368" max="15368" width="21.85546875" style="229" customWidth="1"/>
    <col min="15369" max="15369" width="9.42578125" style="229" bestFit="1" customWidth="1"/>
    <col min="15370" max="15370" width="9.140625" style="229"/>
    <col min="15371" max="15371" width="75.42578125" style="229" customWidth="1"/>
    <col min="15372" max="15372" width="45.28515625" style="229" customWidth="1"/>
    <col min="15373" max="15613" width="9.140625" style="229"/>
    <col min="15614" max="15614" width="4.42578125" style="229" customWidth="1"/>
    <col min="15615" max="15615" width="11.5703125" style="229" customWidth="1"/>
    <col min="15616" max="15616" width="40.42578125" style="229" customWidth="1"/>
    <col min="15617" max="15617" width="5.5703125" style="229" customWidth="1"/>
    <col min="15618" max="15618" width="8.5703125" style="229" customWidth="1"/>
    <col min="15619" max="15619" width="9.85546875" style="229" customWidth="1"/>
    <col min="15620" max="15622" width="13.85546875" style="229" customWidth="1"/>
    <col min="15623" max="15623" width="9.140625" style="229"/>
    <col min="15624" max="15624" width="21.85546875" style="229" customWidth="1"/>
    <col min="15625" max="15625" width="9.42578125" style="229" bestFit="1" customWidth="1"/>
    <col min="15626" max="15626" width="9.140625" style="229"/>
    <col min="15627" max="15627" width="75.42578125" style="229" customWidth="1"/>
    <col min="15628" max="15628" width="45.28515625" style="229" customWidth="1"/>
    <col min="15629" max="15869" width="9.140625" style="229"/>
    <col min="15870" max="15870" width="4.42578125" style="229" customWidth="1"/>
    <col min="15871" max="15871" width="11.5703125" style="229" customWidth="1"/>
    <col min="15872" max="15872" width="40.42578125" style="229" customWidth="1"/>
    <col min="15873" max="15873" width="5.5703125" style="229" customWidth="1"/>
    <col min="15874" max="15874" width="8.5703125" style="229" customWidth="1"/>
    <col min="15875" max="15875" width="9.85546875" style="229" customWidth="1"/>
    <col min="15876" max="15878" width="13.85546875" style="229" customWidth="1"/>
    <col min="15879" max="15879" width="9.140625" style="229"/>
    <col min="15880" max="15880" width="21.85546875" style="229" customWidth="1"/>
    <col min="15881" max="15881" width="9.42578125" style="229" bestFit="1" customWidth="1"/>
    <col min="15882" max="15882" width="9.140625" style="229"/>
    <col min="15883" max="15883" width="75.42578125" style="229" customWidth="1"/>
    <col min="15884" max="15884" width="45.28515625" style="229" customWidth="1"/>
    <col min="15885" max="16125" width="9.140625" style="229"/>
    <col min="16126" max="16126" width="4.42578125" style="229" customWidth="1"/>
    <col min="16127" max="16127" width="11.5703125" style="229" customWidth="1"/>
    <col min="16128" max="16128" width="40.42578125" style="229" customWidth="1"/>
    <col min="16129" max="16129" width="5.5703125" style="229" customWidth="1"/>
    <col min="16130" max="16130" width="8.5703125" style="229" customWidth="1"/>
    <col min="16131" max="16131" width="9.85546875" style="229" customWidth="1"/>
    <col min="16132" max="16134" width="13.85546875" style="229" customWidth="1"/>
    <col min="16135" max="16135" width="9.140625" style="229"/>
    <col min="16136" max="16136" width="21.85546875" style="229" customWidth="1"/>
    <col min="16137" max="16137" width="9.42578125" style="229" bestFit="1" customWidth="1"/>
    <col min="16138" max="16138" width="9.140625" style="229"/>
    <col min="16139" max="16139" width="75.42578125" style="229" customWidth="1"/>
    <col min="16140" max="16140" width="45.28515625" style="229" customWidth="1"/>
    <col min="16141" max="16384" width="9.140625" style="229"/>
  </cols>
  <sheetData>
    <row r="1" spans="1:103" x14ac:dyDescent="0.2">
      <c r="A1" s="1" t="s">
        <v>275</v>
      </c>
      <c r="B1" s="2"/>
      <c r="C1" s="3"/>
      <c r="D1" s="5" t="s">
        <v>785</v>
      </c>
      <c r="E1" s="440"/>
      <c r="F1" s="441"/>
      <c r="G1" s="442" t="s">
        <v>413</v>
      </c>
      <c r="I1" s="443"/>
    </row>
    <row r="2" spans="1:103" ht="15" x14ac:dyDescent="0.25">
      <c r="A2" s="250" t="s">
        <v>13</v>
      </c>
      <c r="B2" s="13"/>
      <c r="C2" s="14"/>
      <c r="D2" s="16" t="s">
        <v>414</v>
      </c>
      <c r="E2" s="445"/>
      <c r="F2" s="446"/>
      <c r="G2" s="447"/>
      <c r="I2" s="443"/>
    </row>
    <row r="3" spans="1:103" x14ac:dyDescent="0.2">
      <c r="A3" s="251" t="s">
        <v>153</v>
      </c>
      <c r="B3" s="252" t="s">
        <v>154</v>
      </c>
      <c r="C3" s="252" t="s">
        <v>155</v>
      </c>
      <c r="D3" s="252" t="s">
        <v>4</v>
      </c>
      <c r="E3" s="252" t="s">
        <v>156</v>
      </c>
      <c r="F3" s="252" t="s">
        <v>157</v>
      </c>
      <c r="G3" s="253" t="s">
        <v>158</v>
      </c>
      <c r="I3" s="443"/>
    </row>
    <row r="4" spans="1:103" ht="15" x14ac:dyDescent="0.25">
      <c r="A4" s="254"/>
      <c r="B4" s="255"/>
      <c r="C4" s="438" t="s">
        <v>415</v>
      </c>
      <c r="D4" s="256"/>
      <c r="E4" s="448"/>
      <c r="F4" s="256"/>
      <c r="G4" s="256"/>
      <c r="I4" s="443"/>
    </row>
    <row r="5" spans="1:103" x14ac:dyDescent="0.2">
      <c r="A5" s="449" t="s">
        <v>159</v>
      </c>
      <c r="B5" s="450" t="s">
        <v>12</v>
      </c>
      <c r="C5" s="451" t="s">
        <v>105</v>
      </c>
      <c r="D5" s="452"/>
      <c r="E5" s="453"/>
      <c r="F5" s="453"/>
      <c r="G5" s="454"/>
      <c r="I5" s="443"/>
      <c r="N5" s="235">
        <v>1</v>
      </c>
    </row>
    <row r="6" spans="1:103" x14ac:dyDescent="0.2">
      <c r="A6" s="455">
        <v>1</v>
      </c>
      <c r="B6" s="456" t="s">
        <v>786</v>
      </c>
      <c r="C6" s="457" t="s">
        <v>787</v>
      </c>
      <c r="D6" s="458" t="s">
        <v>31</v>
      </c>
      <c r="E6" s="459">
        <v>70.2</v>
      </c>
      <c r="F6" s="459"/>
      <c r="G6" s="486">
        <f>E6*F6</f>
        <v>0</v>
      </c>
      <c r="I6" s="443"/>
      <c r="N6" s="235">
        <v>2</v>
      </c>
      <c r="Z6" s="229">
        <v>1</v>
      </c>
      <c r="AA6" s="229">
        <v>1</v>
      </c>
      <c r="AB6" s="229">
        <v>1</v>
      </c>
      <c r="AY6" s="229">
        <v>1</v>
      </c>
      <c r="AZ6" s="229">
        <f>IF(AY6=1,G6,0)</f>
        <v>0</v>
      </c>
      <c r="BA6" s="229">
        <f>IF(AY6=2,G6,0)</f>
        <v>0</v>
      </c>
      <c r="BB6" s="229">
        <f>IF(AY6=3,G6,0)</f>
        <v>0</v>
      </c>
      <c r="BC6" s="229">
        <f>IF(AY6=4,G6,0)</f>
        <v>0</v>
      </c>
      <c r="BD6" s="229">
        <f>IF(AY6=5,G6,0)</f>
        <v>0</v>
      </c>
      <c r="BZ6" s="235">
        <v>1</v>
      </c>
      <c r="CA6" s="235">
        <v>1</v>
      </c>
      <c r="CY6" s="229">
        <v>0</v>
      </c>
    </row>
    <row r="7" spans="1:103" ht="12.75" customHeight="1" x14ac:dyDescent="0.2">
      <c r="A7" s="460"/>
      <c r="B7" s="461"/>
      <c r="C7" s="522" t="s">
        <v>416</v>
      </c>
      <c r="D7" s="522"/>
      <c r="E7" s="462">
        <v>0</v>
      </c>
      <c r="F7" s="463"/>
      <c r="G7" s="505"/>
      <c r="I7" s="443"/>
      <c r="L7" s="464" t="s">
        <v>417</v>
      </c>
      <c r="N7" s="235"/>
    </row>
    <row r="8" spans="1:103" ht="12.75" customHeight="1" x14ac:dyDescent="0.2">
      <c r="A8" s="460"/>
      <c r="B8" s="461"/>
      <c r="C8" s="522" t="s">
        <v>788</v>
      </c>
      <c r="D8" s="522"/>
      <c r="E8" s="462">
        <v>70.2</v>
      </c>
      <c r="F8" s="463"/>
      <c r="G8" s="505"/>
      <c r="I8" s="443"/>
      <c r="L8" s="464" t="s">
        <v>418</v>
      </c>
      <c r="N8" s="235"/>
    </row>
    <row r="9" spans="1:103" ht="12.75" customHeight="1" x14ac:dyDescent="0.2">
      <c r="A9" s="455">
        <v>2</v>
      </c>
      <c r="B9" s="456" t="s">
        <v>420</v>
      </c>
      <c r="C9" s="457" t="s">
        <v>421</v>
      </c>
      <c r="D9" s="458" t="s">
        <v>31</v>
      </c>
      <c r="E9" s="459">
        <v>70.2</v>
      </c>
      <c r="F9" s="459"/>
      <c r="G9" s="486">
        <f>E9*F9</f>
        <v>0</v>
      </c>
      <c r="I9" s="443"/>
      <c r="L9" s="464" t="s">
        <v>419</v>
      </c>
      <c r="N9" s="235"/>
    </row>
    <row r="10" spans="1:103" x14ac:dyDescent="0.2">
      <c r="A10" s="455">
        <v>3</v>
      </c>
      <c r="B10" s="490" t="s">
        <v>422</v>
      </c>
      <c r="C10" s="457" t="s">
        <v>820</v>
      </c>
      <c r="D10" s="458" t="s">
        <v>31</v>
      </c>
      <c r="E10" s="459">
        <v>4.7249999999999996</v>
      </c>
      <c r="F10" s="459"/>
      <c r="G10" s="486">
        <f>E10*F10</f>
        <v>0</v>
      </c>
      <c r="I10" s="443"/>
      <c r="N10" s="235">
        <v>2</v>
      </c>
      <c r="Z10" s="229">
        <v>1</v>
      </c>
      <c r="AA10" s="229">
        <v>1</v>
      </c>
      <c r="AB10" s="229">
        <v>1</v>
      </c>
      <c r="AY10" s="229">
        <v>1</v>
      </c>
      <c r="AZ10" s="229">
        <f>IF(AY10=1,G10,0)</f>
        <v>0</v>
      </c>
      <c r="BA10" s="229">
        <f>IF(AY10=2,G10,0)</f>
        <v>0</v>
      </c>
      <c r="BB10" s="229">
        <f>IF(AY10=3,G10,0)</f>
        <v>0</v>
      </c>
      <c r="BC10" s="229">
        <f>IF(AY10=4,G10,0)</f>
        <v>0</v>
      </c>
      <c r="BD10" s="229">
        <f>IF(AY10=5,G10,0)</f>
        <v>0</v>
      </c>
      <c r="BZ10" s="235">
        <v>1</v>
      </c>
      <c r="CA10" s="235">
        <v>1</v>
      </c>
      <c r="CY10" s="229">
        <v>0</v>
      </c>
    </row>
    <row r="11" spans="1:103" x14ac:dyDescent="0.2">
      <c r="A11" s="460"/>
      <c r="B11" s="461"/>
      <c r="C11" s="522" t="s">
        <v>417</v>
      </c>
      <c r="D11" s="522"/>
      <c r="E11" s="462">
        <v>0</v>
      </c>
      <c r="F11" s="463"/>
      <c r="G11" s="505"/>
      <c r="I11" s="443"/>
      <c r="N11" s="235">
        <v>2</v>
      </c>
      <c r="Z11" s="229">
        <v>1</v>
      </c>
      <c r="AA11" s="229">
        <v>1</v>
      </c>
      <c r="AB11" s="229">
        <v>1</v>
      </c>
      <c r="AY11" s="229">
        <v>1</v>
      </c>
      <c r="AZ11" s="229">
        <f>IF(AY11=1,G11,0)</f>
        <v>0</v>
      </c>
      <c r="BA11" s="229">
        <f>IF(AY11=2,G11,0)</f>
        <v>0</v>
      </c>
      <c r="BB11" s="229">
        <f>IF(AY11=3,G11,0)</f>
        <v>0</v>
      </c>
      <c r="BC11" s="229">
        <f>IF(AY11=4,G11,0)</f>
        <v>0</v>
      </c>
      <c r="BD11" s="229">
        <f>IF(AY11=5,G11,0)</f>
        <v>0</v>
      </c>
      <c r="BZ11" s="235">
        <v>1</v>
      </c>
      <c r="CA11" s="235">
        <v>1</v>
      </c>
      <c r="CY11" s="229">
        <v>0</v>
      </c>
    </row>
    <row r="12" spans="1:103" ht="12.75" customHeight="1" x14ac:dyDescent="0.2">
      <c r="A12" s="460"/>
      <c r="B12" s="461"/>
      <c r="C12" s="522" t="s">
        <v>423</v>
      </c>
      <c r="D12" s="522"/>
      <c r="E12" s="462">
        <v>4.7249999999999996</v>
      </c>
      <c r="F12" s="463"/>
      <c r="G12" s="505"/>
      <c r="I12" s="443"/>
      <c r="L12" s="464" t="s">
        <v>417</v>
      </c>
      <c r="N12" s="235"/>
    </row>
    <row r="13" spans="1:103" ht="12.75" customHeight="1" x14ac:dyDescent="0.2">
      <c r="A13" s="455">
        <v>4</v>
      </c>
      <c r="B13" s="456" t="s">
        <v>424</v>
      </c>
      <c r="C13" s="457" t="s">
        <v>425</v>
      </c>
      <c r="D13" s="458" t="s">
        <v>31</v>
      </c>
      <c r="E13" s="459">
        <v>4.7300000000000004</v>
      </c>
      <c r="F13" s="459"/>
      <c r="G13" s="486">
        <f>E13*F13</f>
        <v>0</v>
      </c>
      <c r="I13" s="443"/>
      <c r="L13" s="464" t="s">
        <v>423</v>
      </c>
      <c r="N13" s="235"/>
    </row>
    <row r="14" spans="1:103" x14ac:dyDescent="0.2">
      <c r="A14" s="455">
        <v>5</v>
      </c>
      <c r="B14" s="456" t="s">
        <v>426</v>
      </c>
      <c r="C14" s="457" t="s">
        <v>427</v>
      </c>
      <c r="D14" s="458" t="s">
        <v>23</v>
      </c>
      <c r="E14" s="459">
        <v>158.85</v>
      </c>
      <c r="F14" s="459"/>
      <c r="G14" s="486">
        <f>E14*F14</f>
        <v>0</v>
      </c>
      <c r="I14" s="443"/>
      <c r="N14" s="235">
        <v>2</v>
      </c>
      <c r="Z14" s="229">
        <v>1</v>
      </c>
      <c r="AA14" s="229">
        <v>1</v>
      </c>
      <c r="AB14" s="229">
        <v>1</v>
      </c>
      <c r="AY14" s="229">
        <v>1</v>
      </c>
      <c r="AZ14" s="229">
        <f>IF(AY14=1,G14,0)</f>
        <v>0</v>
      </c>
      <c r="BA14" s="229">
        <f>IF(AY14=2,G14,0)</f>
        <v>0</v>
      </c>
      <c r="BB14" s="229">
        <f>IF(AY14=3,G14,0)</f>
        <v>0</v>
      </c>
      <c r="BC14" s="229">
        <f>IF(AY14=4,G14,0)</f>
        <v>0</v>
      </c>
      <c r="BD14" s="229">
        <f>IF(AY14=5,G14,0)</f>
        <v>0</v>
      </c>
      <c r="BZ14" s="235">
        <v>1</v>
      </c>
      <c r="CA14" s="235">
        <v>1</v>
      </c>
      <c r="CY14" s="229">
        <v>0</v>
      </c>
    </row>
    <row r="15" spans="1:103" x14ac:dyDescent="0.2">
      <c r="A15" s="460"/>
      <c r="B15" s="461"/>
      <c r="C15" s="522" t="s">
        <v>789</v>
      </c>
      <c r="D15" s="522"/>
      <c r="E15" s="462">
        <v>84.6</v>
      </c>
      <c r="F15" s="463"/>
      <c r="G15" s="505"/>
      <c r="I15" s="443"/>
      <c r="N15" s="235">
        <v>2</v>
      </c>
      <c r="Z15" s="229">
        <v>1</v>
      </c>
      <c r="AA15" s="229">
        <v>1</v>
      </c>
      <c r="AB15" s="229">
        <v>1</v>
      </c>
      <c r="AY15" s="229">
        <v>1</v>
      </c>
      <c r="AZ15" s="229">
        <f>IF(AY15=1,G15,0)</f>
        <v>0</v>
      </c>
      <c r="BA15" s="229">
        <f>IF(AY15=2,G15,0)</f>
        <v>0</v>
      </c>
      <c r="BB15" s="229">
        <f>IF(AY15=3,G15,0)</f>
        <v>0</v>
      </c>
      <c r="BC15" s="229">
        <f>IF(AY15=4,G15,0)</f>
        <v>0</v>
      </c>
      <c r="BD15" s="229">
        <f>IF(AY15=5,G15,0)</f>
        <v>0</v>
      </c>
      <c r="BZ15" s="235">
        <v>1</v>
      </c>
      <c r="CA15" s="235">
        <v>1</v>
      </c>
      <c r="CY15" s="229">
        <v>9.8999999999999999E-4</v>
      </c>
    </row>
    <row r="16" spans="1:103" ht="12.75" customHeight="1" x14ac:dyDescent="0.2">
      <c r="A16" s="460"/>
      <c r="B16" s="461"/>
      <c r="C16" s="522" t="s">
        <v>790</v>
      </c>
      <c r="D16" s="522"/>
      <c r="E16" s="462">
        <v>74.25</v>
      </c>
      <c r="F16" s="463"/>
      <c r="G16" s="505"/>
      <c r="L16" s="464" t="s">
        <v>428</v>
      </c>
      <c r="N16" s="235"/>
    </row>
    <row r="17" spans="1:103" ht="12.75" customHeight="1" x14ac:dyDescent="0.2">
      <c r="A17" s="455">
        <v>6</v>
      </c>
      <c r="B17" s="456" t="s">
        <v>430</v>
      </c>
      <c r="C17" s="457" t="s">
        <v>431</v>
      </c>
      <c r="D17" s="458" t="s">
        <v>23</v>
      </c>
      <c r="E17" s="459">
        <v>158.85</v>
      </c>
      <c r="F17" s="459"/>
      <c r="G17" s="486">
        <f>E17*F17</f>
        <v>0</v>
      </c>
      <c r="L17" s="464" t="s">
        <v>429</v>
      </c>
      <c r="N17" s="235"/>
    </row>
    <row r="18" spans="1:103" x14ac:dyDescent="0.2">
      <c r="A18" s="455">
        <v>7</v>
      </c>
      <c r="B18" s="456" t="s">
        <v>432</v>
      </c>
      <c r="C18" s="457" t="s">
        <v>433</v>
      </c>
      <c r="D18" s="458" t="s">
        <v>31</v>
      </c>
      <c r="E18" s="459">
        <v>22.478999999999999</v>
      </c>
      <c r="F18" s="459"/>
      <c r="G18" s="486">
        <f>E18*F18</f>
        <v>0</v>
      </c>
      <c r="N18" s="235">
        <v>2</v>
      </c>
      <c r="Z18" s="229">
        <v>1</v>
      </c>
      <c r="AA18" s="229">
        <v>1</v>
      </c>
      <c r="AB18" s="229">
        <v>1</v>
      </c>
      <c r="AY18" s="229">
        <v>1</v>
      </c>
      <c r="AZ18" s="229">
        <f>IF(AY18=1,G18,0)</f>
        <v>0</v>
      </c>
      <c r="BA18" s="229">
        <f>IF(AY18=2,G18,0)</f>
        <v>0</v>
      </c>
      <c r="BB18" s="229">
        <f>IF(AY18=3,G18,0)</f>
        <v>0</v>
      </c>
      <c r="BC18" s="229">
        <f>IF(AY18=4,G18,0)</f>
        <v>0</v>
      </c>
      <c r="BD18" s="229">
        <f>IF(AY18=5,G18,0)</f>
        <v>0</v>
      </c>
      <c r="BZ18" s="235">
        <v>1</v>
      </c>
      <c r="CA18" s="235">
        <v>1</v>
      </c>
      <c r="CY18" s="229">
        <v>0</v>
      </c>
    </row>
    <row r="19" spans="1:103" x14ac:dyDescent="0.2">
      <c r="A19" s="460"/>
      <c r="B19" s="461"/>
      <c r="C19" s="522" t="s">
        <v>791</v>
      </c>
      <c r="D19" s="522"/>
      <c r="E19" s="462">
        <v>22.478999999999999</v>
      </c>
      <c r="F19" s="463"/>
      <c r="G19" s="505"/>
      <c r="N19" s="235">
        <v>2</v>
      </c>
      <c r="Z19" s="229">
        <v>1</v>
      </c>
      <c r="AA19" s="229">
        <v>1</v>
      </c>
      <c r="AB19" s="229">
        <v>1</v>
      </c>
      <c r="AY19" s="229">
        <v>1</v>
      </c>
      <c r="AZ19" s="229">
        <f>IF(AY19=1,G19,0)</f>
        <v>0</v>
      </c>
      <c r="BA19" s="229">
        <f>IF(AY19=2,G19,0)</f>
        <v>0</v>
      </c>
      <c r="BB19" s="229">
        <f>IF(AY19=3,G19,0)</f>
        <v>0</v>
      </c>
      <c r="BC19" s="229">
        <f>IF(AY19=4,G19,0)</f>
        <v>0</v>
      </c>
      <c r="BD19" s="229">
        <f>IF(AY19=5,G19,0)</f>
        <v>0</v>
      </c>
      <c r="BZ19" s="235">
        <v>1</v>
      </c>
      <c r="CA19" s="235">
        <v>1</v>
      </c>
      <c r="CY19" s="229">
        <v>0</v>
      </c>
    </row>
    <row r="20" spans="1:103" ht="12.75" customHeight="1" x14ac:dyDescent="0.2">
      <c r="A20" s="455">
        <v>8</v>
      </c>
      <c r="B20" s="456" t="s">
        <v>435</v>
      </c>
      <c r="C20" s="457" t="s">
        <v>436</v>
      </c>
      <c r="D20" s="458" t="s">
        <v>31</v>
      </c>
      <c r="E20" s="459">
        <f>E21</f>
        <v>43.2</v>
      </c>
      <c r="F20" s="459"/>
      <c r="G20" s="486">
        <f>E20*F20</f>
        <v>0</v>
      </c>
      <c r="L20" s="464" t="s">
        <v>434</v>
      </c>
      <c r="N20" s="235"/>
    </row>
    <row r="21" spans="1:103" ht="12.75" customHeight="1" x14ac:dyDescent="0.2">
      <c r="A21" s="460"/>
      <c r="B21" s="461"/>
      <c r="C21" s="522" t="s">
        <v>792</v>
      </c>
      <c r="D21" s="522"/>
      <c r="E21" s="462">
        <v>43.2</v>
      </c>
      <c r="F21" s="463"/>
      <c r="G21" s="505"/>
      <c r="L21" s="464" t="s">
        <v>437</v>
      </c>
      <c r="N21" s="235"/>
    </row>
    <row r="22" spans="1:103" ht="12.75" customHeight="1" x14ac:dyDescent="0.2">
      <c r="A22" s="455">
        <v>9</v>
      </c>
      <c r="B22" s="456" t="s">
        <v>439</v>
      </c>
      <c r="C22" s="457" t="s">
        <v>440</v>
      </c>
      <c r="D22" s="458" t="s">
        <v>31</v>
      </c>
      <c r="E22" s="459">
        <v>31.73</v>
      </c>
      <c r="F22" s="459"/>
      <c r="G22" s="486">
        <f>E22*F22</f>
        <v>0</v>
      </c>
      <c r="L22" s="464" t="s">
        <v>438</v>
      </c>
      <c r="N22" s="235"/>
    </row>
    <row r="23" spans="1:103" x14ac:dyDescent="0.2">
      <c r="A23" s="460"/>
      <c r="B23" s="461"/>
      <c r="C23" s="522" t="s">
        <v>793</v>
      </c>
      <c r="D23" s="522"/>
      <c r="E23" s="462">
        <v>31.73</v>
      </c>
      <c r="F23" s="463"/>
      <c r="G23" s="505"/>
      <c r="N23" s="235">
        <v>2</v>
      </c>
      <c r="Z23" s="229">
        <v>1</v>
      </c>
      <c r="AA23" s="229">
        <v>1</v>
      </c>
      <c r="AB23" s="229">
        <v>1</v>
      </c>
      <c r="AY23" s="229">
        <v>1</v>
      </c>
      <c r="AZ23" s="229">
        <f>IF(AY23=1,G23,0)</f>
        <v>0</v>
      </c>
      <c r="BA23" s="229">
        <f>IF(AY23=2,G23,0)</f>
        <v>0</v>
      </c>
      <c r="BB23" s="229">
        <f>IF(AY23=3,G23,0)</f>
        <v>0</v>
      </c>
      <c r="BC23" s="229">
        <f>IF(AY23=4,G23,0)</f>
        <v>0</v>
      </c>
      <c r="BD23" s="229">
        <f>IF(AY23=5,G23,0)</f>
        <v>0</v>
      </c>
      <c r="BZ23" s="235">
        <v>1</v>
      </c>
      <c r="CA23" s="235">
        <v>1</v>
      </c>
      <c r="CY23" s="229">
        <v>0</v>
      </c>
    </row>
    <row r="24" spans="1:103" ht="12.75" customHeight="1" x14ac:dyDescent="0.2">
      <c r="A24" s="455">
        <v>10</v>
      </c>
      <c r="B24" s="456" t="s">
        <v>442</v>
      </c>
      <c r="C24" s="457" t="s">
        <v>821</v>
      </c>
      <c r="D24" s="458" t="s">
        <v>31</v>
      </c>
      <c r="E24" s="459">
        <f>E25</f>
        <v>158.65</v>
      </c>
      <c r="F24" s="459"/>
      <c r="G24" s="486">
        <f>E24*F24</f>
        <v>0</v>
      </c>
      <c r="L24" s="464" t="s">
        <v>441</v>
      </c>
      <c r="N24" s="235"/>
    </row>
    <row r="25" spans="1:103" x14ac:dyDescent="0.2">
      <c r="A25" s="460"/>
      <c r="B25" s="461"/>
      <c r="C25" s="522" t="s">
        <v>822</v>
      </c>
      <c r="D25" s="522"/>
      <c r="E25" s="462">
        <f>E23*5</f>
        <v>158.65</v>
      </c>
      <c r="F25" s="463"/>
      <c r="G25" s="505"/>
      <c r="N25" s="235">
        <v>2</v>
      </c>
      <c r="Z25" s="229">
        <v>1</v>
      </c>
      <c r="AA25" s="229">
        <v>1</v>
      </c>
      <c r="AB25" s="229">
        <v>1</v>
      </c>
      <c r="AY25" s="229">
        <v>1</v>
      </c>
      <c r="AZ25" s="229">
        <f>IF(AY25=1,G25,0)</f>
        <v>0</v>
      </c>
      <c r="BA25" s="229">
        <f>IF(AY25=2,G25,0)</f>
        <v>0</v>
      </c>
      <c r="BB25" s="229">
        <f>IF(AY25=3,G25,0)</f>
        <v>0</v>
      </c>
      <c r="BC25" s="229">
        <f>IF(AY25=4,G25,0)</f>
        <v>0</v>
      </c>
      <c r="BD25" s="229">
        <f>IF(AY25=5,G25,0)</f>
        <v>0</v>
      </c>
      <c r="BZ25" s="235">
        <v>1</v>
      </c>
      <c r="CA25" s="235">
        <v>1</v>
      </c>
      <c r="CY25" s="229">
        <v>0</v>
      </c>
    </row>
    <row r="26" spans="1:103" ht="12.75" customHeight="1" x14ac:dyDescent="0.2">
      <c r="A26" s="455">
        <v>11</v>
      </c>
      <c r="B26" s="509" t="s">
        <v>444</v>
      </c>
      <c r="C26" s="457" t="s">
        <v>445</v>
      </c>
      <c r="D26" s="458" t="s">
        <v>31</v>
      </c>
      <c r="E26" s="459">
        <f>E27</f>
        <v>43.2</v>
      </c>
      <c r="F26" s="459"/>
      <c r="G26" s="486">
        <f>E26*F26</f>
        <v>0</v>
      </c>
      <c r="L26" s="464" t="s">
        <v>443</v>
      </c>
      <c r="N26" s="235"/>
    </row>
    <row r="27" spans="1:103" ht="12.75" customHeight="1" x14ac:dyDescent="0.2">
      <c r="A27" s="460"/>
      <c r="B27" s="510"/>
      <c r="C27" s="522" t="s">
        <v>792</v>
      </c>
      <c r="D27" s="522"/>
      <c r="E27" s="462">
        <f>E20</f>
        <v>43.2</v>
      </c>
      <c r="F27" s="463"/>
      <c r="G27" s="505"/>
      <c r="L27" s="464" t="s">
        <v>446</v>
      </c>
      <c r="N27" s="235"/>
    </row>
    <row r="28" spans="1:103" ht="12.75" customHeight="1" x14ac:dyDescent="0.2">
      <c r="A28" s="455">
        <v>12</v>
      </c>
      <c r="B28" s="511" t="s">
        <v>448</v>
      </c>
      <c r="C28" s="457" t="s">
        <v>449</v>
      </c>
      <c r="D28" s="458" t="s">
        <v>31</v>
      </c>
      <c r="E28" s="459">
        <f>E29</f>
        <v>31.73</v>
      </c>
      <c r="F28" s="459"/>
      <c r="G28" s="486">
        <f>E28*F28</f>
        <v>0</v>
      </c>
      <c r="L28" s="464" t="s">
        <v>447</v>
      </c>
      <c r="N28" s="235"/>
    </row>
    <row r="29" spans="1:103" ht="12.75" customHeight="1" x14ac:dyDescent="0.2">
      <c r="A29" s="460"/>
      <c r="B29" s="510"/>
      <c r="C29" s="522" t="s">
        <v>794</v>
      </c>
      <c r="D29" s="522"/>
      <c r="E29" s="462">
        <v>31.73</v>
      </c>
      <c r="F29" s="463"/>
      <c r="G29" s="505"/>
      <c r="L29" s="464" t="s">
        <v>450</v>
      </c>
      <c r="N29" s="235"/>
    </row>
    <row r="30" spans="1:103" ht="12.75" customHeight="1" x14ac:dyDescent="0.2">
      <c r="A30" s="455">
        <v>13</v>
      </c>
      <c r="B30" s="509" t="s">
        <v>452</v>
      </c>
      <c r="C30" s="457" t="s">
        <v>453</v>
      </c>
      <c r="D30" s="458" t="s">
        <v>31</v>
      </c>
      <c r="E30" s="459">
        <f>E28</f>
        <v>31.73</v>
      </c>
      <c r="F30" s="459"/>
      <c r="G30" s="486">
        <f>E30*F30</f>
        <v>0</v>
      </c>
      <c r="L30" s="464" t="s">
        <v>451</v>
      </c>
      <c r="N30" s="235"/>
    </row>
    <row r="31" spans="1:103" ht="12.75" customHeight="1" x14ac:dyDescent="0.2">
      <c r="A31" s="455">
        <v>14</v>
      </c>
      <c r="B31" s="456" t="s">
        <v>455</v>
      </c>
      <c r="C31" s="457" t="s">
        <v>456</v>
      </c>
      <c r="D31" s="458" t="s">
        <v>31</v>
      </c>
      <c r="E31" s="459">
        <v>43.2</v>
      </c>
      <c r="F31" s="459"/>
      <c r="G31" s="486">
        <f>E31*F31</f>
        <v>0</v>
      </c>
      <c r="L31" s="464" t="s">
        <v>454</v>
      </c>
      <c r="N31" s="235"/>
    </row>
    <row r="32" spans="1:103" x14ac:dyDescent="0.2">
      <c r="A32" s="460"/>
      <c r="B32" s="461"/>
      <c r="C32" s="522" t="s">
        <v>795</v>
      </c>
      <c r="D32" s="522"/>
      <c r="E32" s="462">
        <v>39</v>
      </c>
      <c r="F32" s="463"/>
      <c r="G32" s="505"/>
      <c r="N32" s="235">
        <v>2</v>
      </c>
      <c r="Z32" s="229">
        <v>1</v>
      </c>
      <c r="AA32" s="229">
        <v>1</v>
      </c>
      <c r="AB32" s="229">
        <v>1</v>
      </c>
      <c r="AY32" s="229">
        <v>1</v>
      </c>
      <c r="AZ32" s="229">
        <f>IF(AY32=1,G32,0)</f>
        <v>0</v>
      </c>
      <c r="BA32" s="229">
        <f>IF(AY32=2,G32,0)</f>
        <v>0</v>
      </c>
      <c r="BB32" s="229">
        <f>IF(AY32=3,G32,0)</f>
        <v>0</v>
      </c>
      <c r="BC32" s="229">
        <f>IF(AY32=4,G32,0)</f>
        <v>0</v>
      </c>
      <c r="BD32" s="229">
        <f>IF(AY32=5,G32,0)</f>
        <v>0</v>
      </c>
      <c r="BZ32" s="235">
        <v>1</v>
      </c>
      <c r="CA32" s="235">
        <v>1</v>
      </c>
      <c r="CY32" s="229">
        <v>0</v>
      </c>
    </row>
    <row r="33" spans="1:103" ht="12.75" customHeight="1" x14ac:dyDescent="0.2">
      <c r="A33" s="460"/>
      <c r="B33" s="461"/>
      <c r="C33" s="522" t="s">
        <v>458</v>
      </c>
      <c r="D33" s="522"/>
      <c r="E33" s="462">
        <v>4.2</v>
      </c>
      <c r="F33" s="463"/>
      <c r="G33" s="505"/>
      <c r="L33" s="464" t="s">
        <v>457</v>
      </c>
      <c r="N33" s="235"/>
    </row>
    <row r="34" spans="1:103" ht="12.75" customHeight="1" x14ac:dyDescent="0.2">
      <c r="A34" s="455">
        <v>15</v>
      </c>
      <c r="B34" s="456" t="s">
        <v>460</v>
      </c>
      <c r="C34" s="457" t="s">
        <v>461</v>
      </c>
      <c r="D34" s="458" t="s">
        <v>31</v>
      </c>
      <c r="E34" s="459">
        <v>23.4</v>
      </c>
      <c r="F34" s="459"/>
      <c r="G34" s="486">
        <f>E34*F34</f>
        <v>0</v>
      </c>
      <c r="L34" s="464" t="s">
        <v>458</v>
      </c>
      <c r="N34" s="235"/>
    </row>
    <row r="35" spans="1:103" ht="12.75" customHeight="1" x14ac:dyDescent="0.2">
      <c r="A35" s="460"/>
      <c r="B35" s="461"/>
      <c r="C35" s="522" t="s">
        <v>796</v>
      </c>
      <c r="D35" s="522"/>
      <c r="E35" s="462">
        <v>23.4</v>
      </c>
      <c r="F35" s="463"/>
      <c r="G35" s="505"/>
      <c r="L35" s="464" t="s">
        <v>459</v>
      </c>
      <c r="N35" s="235"/>
    </row>
    <row r="36" spans="1:103" x14ac:dyDescent="0.2">
      <c r="A36" s="455">
        <v>16</v>
      </c>
      <c r="B36" s="456" t="s">
        <v>463</v>
      </c>
      <c r="C36" s="457" t="s">
        <v>464</v>
      </c>
      <c r="D36" s="458" t="s">
        <v>23</v>
      </c>
      <c r="E36" s="459">
        <v>82.5</v>
      </c>
      <c r="F36" s="459"/>
      <c r="G36" s="486">
        <f>E36*F36</f>
        <v>0</v>
      </c>
      <c r="N36" s="235">
        <v>2</v>
      </c>
      <c r="Z36" s="229">
        <v>1</v>
      </c>
      <c r="AA36" s="229">
        <v>1</v>
      </c>
      <c r="AB36" s="229">
        <v>1</v>
      </c>
      <c r="AY36" s="229">
        <v>1</v>
      </c>
      <c r="AZ36" s="229">
        <f>IF(AY36=1,G36,0)</f>
        <v>0</v>
      </c>
      <c r="BA36" s="229">
        <f>IF(AY36=2,G36,0)</f>
        <v>0</v>
      </c>
      <c r="BB36" s="229">
        <f>IF(AY36=3,G36,0)</f>
        <v>0</v>
      </c>
      <c r="BC36" s="229">
        <f>IF(AY36=4,G36,0)</f>
        <v>0</v>
      </c>
      <c r="BD36" s="229">
        <f>IF(AY36=5,G36,0)</f>
        <v>0</v>
      </c>
      <c r="BZ36" s="235">
        <v>1</v>
      </c>
      <c r="CA36" s="235">
        <v>1</v>
      </c>
      <c r="CY36" s="229">
        <v>1.7</v>
      </c>
    </row>
    <row r="37" spans="1:103" ht="12.75" customHeight="1" x14ac:dyDescent="0.2">
      <c r="A37" s="460"/>
      <c r="B37" s="461"/>
      <c r="C37" s="522" t="s">
        <v>797</v>
      </c>
      <c r="D37" s="522"/>
      <c r="E37" s="462">
        <v>82.5</v>
      </c>
      <c r="F37" s="463"/>
      <c r="G37" s="505"/>
      <c r="L37" s="464" t="s">
        <v>462</v>
      </c>
      <c r="N37" s="235"/>
    </row>
    <row r="38" spans="1:103" x14ac:dyDescent="0.2">
      <c r="A38" s="455">
        <v>17</v>
      </c>
      <c r="B38" s="456" t="s">
        <v>466</v>
      </c>
      <c r="C38" s="457" t="s">
        <v>467</v>
      </c>
      <c r="D38" s="458" t="s">
        <v>23</v>
      </c>
      <c r="E38" s="459">
        <v>82.5</v>
      </c>
      <c r="F38" s="459"/>
      <c r="G38" s="486">
        <f>E38*F38</f>
        <v>0</v>
      </c>
      <c r="N38" s="235">
        <v>2</v>
      </c>
      <c r="Z38" s="229">
        <v>1</v>
      </c>
      <c r="AA38" s="229">
        <v>1</v>
      </c>
      <c r="AB38" s="229">
        <v>1</v>
      </c>
      <c r="AY38" s="229">
        <v>1</v>
      </c>
      <c r="AZ38" s="229">
        <f>IF(AY38=1,G38,0)</f>
        <v>0</v>
      </c>
      <c r="BA38" s="229">
        <f>IF(AY38=2,G38,0)</f>
        <v>0</v>
      </c>
      <c r="BB38" s="229">
        <f>IF(AY38=3,G38,0)</f>
        <v>0</v>
      </c>
      <c r="BC38" s="229">
        <f>IF(AY38=4,G38,0)</f>
        <v>0</v>
      </c>
      <c r="BD38" s="229">
        <f>IF(AY38=5,G38,0)</f>
        <v>0</v>
      </c>
      <c r="BZ38" s="235">
        <v>1</v>
      </c>
      <c r="CA38" s="235">
        <v>1</v>
      </c>
      <c r="CY38" s="229">
        <v>0</v>
      </c>
    </row>
    <row r="39" spans="1:103" ht="12.75" customHeight="1" x14ac:dyDescent="0.2">
      <c r="A39" s="460"/>
      <c r="B39" s="461"/>
      <c r="C39" s="522" t="s">
        <v>797</v>
      </c>
      <c r="D39" s="522"/>
      <c r="E39" s="462">
        <v>82.5</v>
      </c>
      <c r="F39" s="463"/>
      <c r="G39" s="505"/>
      <c r="L39" s="464" t="s">
        <v>465</v>
      </c>
      <c r="N39" s="235"/>
    </row>
    <row r="40" spans="1:103" x14ac:dyDescent="0.2">
      <c r="A40" s="466"/>
      <c r="B40" s="467" t="s">
        <v>163</v>
      </c>
      <c r="C40" s="468" t="str">
        <f>CONCATENATE(B5," ",C5)</f>
        <v>1 Zemní práce</v>
      </c>
      <c r="D40" s="469"/>
      <c r="E40" s="470"/>
      <c r="F40" s="491"/>
      <c r="G40" s="492">
        <f>SUM(G5:G39)</f>
        <v>0</v>
      </c>
      <c r="N40" s="235">
        <v>2</v>
      </c>
      <c r="Z40" s="229">
        <v>1</v>
      </c>
      <c r="AA40" s="229">
        <v>1</v>
      </c>
      <c r="AB40" s="229">
        <v>1</v>
      </c>
      <c r="AY40" s="229">
        <v>1</v>
      </c>
      <c r="AZ40" s="229">
        <f>IF(AY40=1,G40,0)</f>
        <v>0</v>
      </c>
      <c r="BA40" s="229">
        <f>IF(AY40=2,G40,0)</f>
        <v>0</v>
      </c>
      <c r="BB40" s="229">
        <f>IF(AY40=3,G40,0)</f>
        <v>0</v>
      </c>
      <c r="BC40" s="229">
        <f>IF(AY40=4,G40,0)</f>
        <v>0</v>
      </c>
      <c r="BD40" s="229">
        <f>IF(AY40=5,G40,0)</f>
        <v>0</v>
      </c>
      <c r="BZ40" s="235">
        <v>1</v>
      </c>
      <c r="CA40" s="235">
        <v>1</v>
      </c>
      <c r="CY40" s="229">
        <v>0</v>
      </c>
    </row>
    <row r="41" spans="1:103" ht="12.75" customHeight="1" x14ac:dyDescent="0.2">
      <c r="A41" s="449" t="s">
        <v>159</v>
      </c>
      <c r="B41" s="450" t="s">
        <v>468</v>
      </c>
      <c r="C41" s="451" t="s">
        <v>469</v>
      </c>
      <c r="D41" s="452"/>
      <c r="E41" s="453"/>
      <c r="F41" s="453"/>
      <c r="G41" s="454"/>
      <c r="L41" s="464" t="s">
        <v>472</v>
      </c>
      <c r="N41" s="235"/>
    </row>
    <row r="42" spans="1:103" x14ac:dyDescent="0.2">
      <c r="A42" s="455">
        <v>21</v>
      </c>
      <c r="B42" s="456" t="s">
        <v>470</v>
      </c>
      <c r="C42" s="457" t="s">
        <v>471</v>
      </c>
      <c r="D42" s="458" t="s">
        <v>31</v>
      </c>
      <c r="E42" s="459">
        <v>8</v>
      </c>
      <c r="F42" s="459"/>
      <c r="G42" s="486">
        <f>E42*F42</f>
        <v>0</v>
      </c>
      <c r="N42" s="235">
        <v>4</v>
      </c>
      <c r="AZ42" s="243">
        <f>SUM(AZ41:AZ41)</f>
        <v>0</v>
      </c>
      <c r="BA42" s="243">
        <f>SUM(BA41:BA41)</f>
        <v>0</v>
      </c>
      <c r="BB42" s="243">
        <f>SUM(BB41:BB41)</f>
        <v>0</v>
      </c>
      <c r="BC42" s="243">
        <f>SUM(BC41:BC41)</f>
        <v>0</v>
      </c>
      <c r="BD42" s="243">
        <f>SUM(BD41:BD41)</f>
        <v>0</v>
      </c>
    </row>
    <row r="43" spans="1:103" x14ac:dyDescent="0.2">
      <c r="A43" s="460"/>
      <c r="B43" s="461"/>
      <c r="C43" s="522" t="s">
        <v>798</v>
      </c>
      <c r="D43" s="522"/>
      <c r="E43" s="462">
        <v>7.8</v>
      </c>
      <c r="F43" s="463"/>
      <c r="G43" s="505"/>
      <c r="N43" s="235">
        <v>1</v>
      </c>
    </row>
    <row r="44" spans="1:103" x14ac:dyDescent="0.2">
      <c r="A44" s="460"/>
      <c r="B44" s="461"/>
      <c r="C44" s="522" t="s">
        <v>472</v>
      </c>
      <c r="D44" s="522"/>
      <c r="E44" s="462">
        <v>0.2</v>
      </c>
      <c r="F44" s="463"/>
      <c r="G44" s="505"/>
      <c r="N44" s="235">
        <v>2</v>
      </c>
      <c r="Z44" s="229">
        <v>2</v>
      </c>
      <c r="AA44" s="229">
        <v>1</v>
      </c>
      <c r="AB44" s="229">
        <v>1</v>
      </c>
      <c r="AY44" s="229">
        <v>1</v>
      </c>
      <c r="AZ44" s="229">
        <f>IF(AY44=1,G44,0)</f>
        <v>0</v>
      </c>
      <c r="BA44" s="229">
        <f>IF(AY44=2,G44,0)</f>
        <v>0</v>
      </c>
      <c r="BB44" s="229">
        <f>IF(AY44=3,G44,0)</f>
        <v>0</v>
      </c>
      <c r="BC44" s="229">
        <f>IF(AY44=4,G44,0)</f>
        <v>0</v>
      </c>
      <c r="BD44" s="229">
        <f>IF(AY44=5,G44,0)</f>
        <v>0</v>
      </c>
      <c r="BZ44" s="235">
        <v>2</v>
      </c>
      <c r="CA44" s="235">
        <v>1</v>
      </c>
      <c r="CY44" s="229">
        <v>0.65983000000000003</v>
      </c>
    </row>
    <row r="45" spans="1:103" ht="12.75" customHeight="1" x14ac:dyDescent="0.2">
      <c r="A45" s="466"/>
      <c r="B45" s="467" t="s">
        <v>163</v>
      </c>
      <c r="C45" s="468" t="str">
        <f>CONCATENATE(B41," ",C41)</f>
        <v>45 Podkladní a vedlejší konstrukce</v>
      </c>
      <c r="D45" s="469"/>
      <c r="E45" s="470"/>
      <c r="F45" s="491"/>
      <c r="G45" s="492">
        <f>SUM(G41:G44)</f>
        <v>0</v>
      </c>
      <c r="L45" s="464" t="s">
        <v>473</v>
      </c>
      <c r="N45" s="235"/>
    </row>
    <row r="46" spans="1:103" x14ac:dyDescent="0.2">
      <c r="A46" s="449" t="s">
        <v>159</v>
      </c>
      <c r="B46" s="450" t="s">
        <v>474</v>
      </c>
      <c r="C46" s="451" t="s">
        <v>475</v>
      </c>
      <c r="D46" s="452"/>
      <c r="E46" s="453"/>
      <c r="F46" s="453"/>
      <c r="G46" s="454"/>
      <c r="N46" s="235">
        <v>4</v>
      </c>
      <c r="AZ46" s="243">
        <f>SUM(AZ43:AZ45)</f>
        <v>0</v>
      </c>
      <c r="BA46" s="243">
        <f>SUM(BA43:BA45)</f>
        <v>0</v>
      </c>
      <c r="BB46" s="243">
        <f>SUM(BB43:BB45)</f>
        <v>0</v>
      </c>
      <c r="BC46" s="243">
        <f>SUM(BC43:BC45)</f>
        <v>0</v>
      </c>
      <c r="BD46" s="243">
        <f>SUM(BD43:BD45)</f>
        <v>0</v>
      </c>
    </row>
    <row r="47" spans="1:103" x14ac:dyDescent="0.2">
      <c r="A47" s="455">
        <v>22</v>
      </c>
      <c r="B47" s="456" t="s">
        <v>476</v>
      </c>
      <c r="C47" s="457" t="s">
        <v>477</v>
      </c>
      <c r="D47" s="458" t="s">
        <v>25</v>
      </c>
      <c r="E47" s="459">
        <v>12</v>
      </c>
      <c r="F47" s="459"/>
      <c r="G47" s="486">
        <f t="shared" ref="G47:G75" si="0">E47*F47</f>
        <v>0</v>
      </c>
      <c r="N47" s="235">
        <v>1</v>
      </c>
    </row>
    <row r="48" spans="1:103" x14ac:dyDescent="0.2">
      <c r="A48" s="455">
        <v>23</v>
      </c>
      <c r="B48" s="456" t="s">
        <v>799</v>
      </c>
      <c r="C48" s="457" t="s">
        <v>800</v>
      </c>
      <c r="D48" s="458" t="s">
        <v>25</v>
      </c>
      <c r="E48" s="459">
        <v>118</v>
      </c>
      <c r="F48" s="459"/>
      <c r="G48" s="486">
        <f t="shared" si="0"/>
        <v>0</v>
      </c>
      <c r="N48" s="235">
        <v>2</v>
      </c>
      <c r="Z48" s="229">
        <v>1</v>
      </c>
      <c r="AA48" s="229">
        <v>1</v>
      </c>
      <c r="AB48" s="229">
        <v>1</v>
      </c>
      <c r="AY48" s="229">
        <v>1</v>
      </c>
      <c r="AZ48" s="229">
        <f t="shared" ref="AZ48:AZ80" si="1">IF(AY48=1,G48,0)</f>
        <v>0</v>
      </c>
      <c r="BA48" s="229">
        <f t="shared" ref="BA48:BA80" si="2">IF(AY48=2,G48,0)</f>
        <v>0</v>
      </c>
      <c r="BB48" s="229">
        <f t="shared" ref="BB48:BB80" si="3">IF(AY48=3,G48,0)</f>
        <v>0</v>
      </c>
      <c r="BC48" s="229">
        <f t="shared" ref="BC48:BC80" si="4">IF(AY48=4,G48,0)</f>
        <v>0</v>
      </c>
      <c r="BD48" s="229">
        <f t="shared" ref="BD48:BD80" si="5">IF(AY48=5,G48,0)</f>
        <v>0</v>
      </c>
      <c r="BZ48" s="235">
        <v>1</v>
      </c>
      <c r="CA48" s="235">
        <v>1</v>
      </c>
      <c r="CY48" s="229">
        <v>0</v>
      </c>
    </row>
    <row r="49" spans="1:103" x14ac:dyDescent="0.2">
      <c r="A49" s="455">
        <v>24</v>
      </c>
      <c r="B49" s="456" t="s">
        <v>801</v>
      </c>
      <c r="C49" s="457" t="s">
        <v>478</v>
      </c>
      <c r="D49" s="458" t="s">
        <v>25</v>
      </c>
      <c r="E49" s="459">
        <v>130</v>
      </c>
      <c r="F49" s="459"/>
      <c r="G49" s="486">
        <f t="shared" si="0"/>
        <v>0</v>
      </c>
      <c r="N49" s="235">
        <v>2</v>
      </c>
      <c r="Z49" s="229">
        <v>1</v>
      </c>
      <c r="AA49" s="229">
        <v>1</v>
      </c>
      <c r="AB49" s="229">
        <v>1</v>
      </c>
      <c r="AY49" s="229">
        <v>1</v>
      </c>
      <c r="AZ49" s="229">
        <f t="shared" si="1"/>
        <v>0</v>
      </c>
      <c r="BA49" s="229">
        <f t="shared" si="2"/>
        <v>0</v>
      </c>
      <c r="BB49" s="229">
        <f t="shared" si="3"/>
        <v>0</v>
      </c>
      <c r="BC49" s="229">
        <f t="shared" si="4"/>
        <v>0</v>
      </c>
      <c r="BD49" s="229">
        <f t="shared" si="5"/>
        <v>0</v>
      </c>
      <c r="BZ49" s="235">
        <v>1</v>
      </c>
      <c r="CA49" s="235">
        <v>1</v>
      </c>
      <c r="CY49" s="229">
        <v>0</v>
      </c>
    </row>
    <row r="50" spans="1:103" x14ac:dyDescent="0.2">
      <c r="A50" s="455">
        <v>25</v>
      </c>
      <c r="B50" s="456" t="s">
        <v>479</v>
      </c>
      <c r="C50" s="457" t="s">
        <v>480</v>
      </c>
      <c r="D50" s="458" t="s">
        <v>168</v>
      </c>
      <c r="E50" s="459">
        <v>2</v>
      </c>
      <c r="F50" s="459"/>
      <c r="G50" s="486">
        <f t="shared" si="0"/>
        <v>0</v>
      </c>
      <c r="N50" s="235">
        <v>2</v>
      </c>
      <c r="Z50" s="229">
        <v>1</v>
      </c>
      <c r="AA50" s="229">
        <v>1</v>
      </c>
      <c r="AB50" s="229">
        <v>1</v>
      </c>
      <c r="AY50" s="229">
        <v>1</v>
      </c>
      <c r="AZ50" s="229">
        <f t="shared" si="1"/>
        <v>0</v>
      </c>
      <c r="BA50" s="229">
        <f t="shared" si="2"/>
        <v>0</v>
      </c>
      <c r="BB50" s="229">
        <f t="shared" si="3"/>
        <v>0</v>
      </c>
      <c r="BC50" s="229">
        <f t="shared" si="4"/>
        <v>0</v>
      </c>
      <c r="BD50" s="229">
        <f t="shared" si="5"/>
        <v>0</v>
      </c>
      <c r="BZ50" s="235">
        <v>1</v>
      </c>
      <c r="CA50" s="235">
        <v>1</v>
      </c>
      <c r="CY50" s="229">
        <v>0</v>
      </c>
    </row>
    <row r="51" spans="1:103" x14ac:dyDescent="0.2">
      <c r="A51" s="455">
        <v>26</v>
      </c>
      <c r="B51" s="456" t="s">
        <v>481</v>
      </c>
      <c r="C51" s="457" t="s">
        <v>482</v>
      </c>
      <c r="D51" s="458" t="s">
        <v>168</v>
      </c>
      <c r="E51" s="459">
        <v>16</v>
      </c>
      <c r="F51" s="459"/>
      <c r="G51" s="486">
        <f t="shared" si="0"/>
        <v>0</v>
      </c>
      <c r="N51" s="235">
        <v>2</v>
      </c>
      <c r="Z51" s="229">
        <v>1</v>
      </c>
      <c r="AA51" s="229">
        <v>1</v>
      </c>
      <c r="AB51" s="229">
        <v>1</v>
      </c>
      <c r="AY51" s="229">
        <v>1</v>
      </c>
      <c r="AZ51" s="229">
        <f t="shared" si="1"/>
        <v>0</v>
      </c>
      <c r="BA51" s="229">
        <f t="shared" si="2"/>
        <v>0</v>
      </c>
      <c r="BB51" s="229">
        <f t="shared" si="3"/>
        <v>0</v>
      </c>
      <c r="BC51" s="229">
        <f t="shared" si="4"/>
        <v>0</v>
      </c>
      <c r="BD51" s="229">
        <f t="shared" si="5"/>
        <v>0</v>
      </c>
      <c r="BZ51" s="235">
        <v>1</v>
      </c>
      <c r="CA51" s="235">
        <v>1</v>
      </c>
      <c r="CY51" s="229">
        <v>0</v>
      </c>
    </row>
    <row r="52" spans="1:103" x14ac:dyDescent="0.2">
      <c r="A52" s="455">
        <v>27</v>
      </c>
      <c r="B52" s="456" t="s">
        <v>483</v>
      </c>
      <c r="C52" s="457" t="s">
        <v>802</v>
      </c>
      <c r="D52" s="458" t="s">
        <v>168</v>
      </c>
      <c r="E52" s="459">
        <v>2</v>
      </c>
      <c r="F52" s="459"/>
      <c r="G52" s="486">
        <f t="shared" si="0"/>
        <v>0</v>
      </c>
      <c r="N52" s="235">
        <v>2</v>
      </c>
      <c r="Z52" s="229">
        <v>1</v>
      </c>
      <c r="AA52" s="229">
        <v>0</v>
      </c>
      <c r="AB52" s="229">
        <v>0</v>
      </c>
      <c r="AY52" s="229">
        <v>1</v>
      </c>
      <c r="AZ52" s="229">
        <f t="shared" si="1"/>
        <v>0</v>
      </c>
      <c r="BA52" s="229">
        <f t="shared" si="2"/>
        <v>0</v>
      </c>
      <c r="BB52" s="229">
        <f t="shared" si="3"/>
        <v>0</v>
      </c>
      <c r="BC52" s="229">
        <f t="shared" si="4"/>
        <v>0</v>
      </c>
      <c r="BD52" s="229">
        <f t="shared" si="5"/>
        <v>0</v>
      </c>
      <c r="BZ52" s="235">
        <v>1</v>
      </c>
      <c r="CA52" s="235">
        <v>0</v>
      </c>
      <c r="CY52" s="229">
        <v>0</v>
      </c>
    </row>
    <row r="53" spans="1:103" x14ac:dyDescent="0.2">
      <c r="A53" s="455">
        <v>28</v>
      </c>
      <c r="B53" s="456" t="s">
        <v>803</v>
      </c>
      <c r="C53" s="457" t="s">
        <v>804</v>
      </c>
      <c r="D53" s="458" t="s">
        <v>168</v>
      </c>
      <c r="E53" s="459">
        <v>1</v>
      </c>
      <c r="F53" s="459"/>
      <c r="G53" s="486">
        <f t="shared" si="0"/>
        <v>0</v>
      </c>
      <c r="N53" s="235">
        <v>2</v>
      </c>
      <c r="Z53" s="229">
        <v>1</v>
      </c>
      <c r="AA53" s="229">
        <v>1</v>
      </c>
      <c r="AB53" s="229">
        <v>1</v>
      </c>
      <c r="AY53" s="229">
        <v>1</v>
      </c>
      <c r="AZ53" s="229">
        <f t="shared" si="1"/>
        <v>0</v>
      </c>
      <c r="BA53" s="229">
        <f t="shared" si="2"/>
        <v>0</v>
      </c>
      <c r="BB53" s="229">
        <f t="shared" si="3"/>
        <v>0</v>
      </c>
      <c r="BC53" s="229">
        <f t="shared" si="4"/>
        <v>0</v>
      </c>
      <c r="BD53" s="229">
        <f t="shared" si="5"/>
        <v>0</v>
      </c>
      <c r="BZ53" s="235">
        <v>1</v>
      </c>
      <c r="CA53" s="235">
        <v>1</v>
      </c>
      <c r="CY53" s="229">
        <v>0</v>
      </c>
    </row>
    <row r="54" spans="1:103" x14ac:dyDescent="0.2">
      <c r="A54" s="455">
        <v>29</v>
      </c>
      <c r="B54" s="456" t="s">
        <v>484</v>
      </c>
      <c r="C54" s="457" t="s">
        <v>485</v>
      </c>
      <c r="D54" s="458" t="s">
        <v>168</v>
      </c>
      <c r="E54" s="459">
        <v>2</v>
      </c>
      <c r="F54" s="459"/>
      <c r="G54" s="486">
        <f t="shared" si="0"/>
        <v>0</v>
      </c>
      <c r="N54" s="235">
        <v>2</v>
      </c>
      <c r="Z54" s="229">
        <v>1</v>
      </c>
      <c r="AA54" s="229">
        <v>1</v>
      </c>
      <c r="AB54" s="229">
        <v>1</v>
      </c>
      <c r="AY54" s="229">
        <v>1</v>
      </c>
      <c r="AZ54" s="229">
        <f t="shared" si="1"/>
        <v>0</v>
      </c>
      <c r="BA54" s="229">
        <f t="shared" si="2"/>
        <v>0</v>
      </c>
      <c r="BB54" s="229">
        <f t="shared" si="3"/>
        <v>0</v>
      </c>
      <c r="BC54" s="229">
        <f t="shared" si="4"/>
        <v>0</v>
      </c>
      <c r="BD54" s="229">
        <f t="shared" si="5"/>
        <v>0</v>
      </c>
      <c r="BZ54" s="235">
        <v>1</v>
      </c>
      <c r="CA54" s="235">
        <v>1</v>
      </c>
      <c r="CY54" s="229">
        <v>0</v>
      </c>
    </row>
    <row r="55" spans="1:103" x14ac:dyDescent="0.2">
      <c r="A55" s="455">
        <v>30</v>
      </c>
      <c r="B55" s="456" t="s">
        <v>486</v>
      </c>
      <c r="C55" s="457" t="s">
        <v>487</v>
      </c>
      <c r="D55" s="458" t="s">
        <v>168</v>
      </c>
      <c r="E55" s="459">
        <v>8</v>
      </c>
      <c r="F55" s="459"/>
      <c r="G55" s="486">
        <f t="shared" si="0"/>
        <v>0</v>
      </c>
      <c r="N55" s="235">
        <v>2</v>
      </c>
      <c r="Z55" s="229">
        <v>1</v>
      </c>
      <c r="AA55" s="229">
        <v>1</v>
      </c>
      <c r="AB55" s="229">
        <v>1</v>
      </c>
      <c r="AY55" s="229">
        <v>1</v>
      </c>
      <c r="AZ55" s="229">
        <f t="shared" si="1"/>
        <v>0</v>
      </c>
      <c r="BA55" s="229">
        <f t="shared" si="2"/>
        <v>0</v>
      </c>
      <c r="BB55" s="229">
        <f t="shared" si="3"/>
        <v>0</v>
      </c>
      <c r="BC55" s="229">
        <f t="shared" si="4"/>
        <v>0</v>
      </c>
      <c r="BD55" s="229">
        <f t="shared" si="5"/>
        <v>0</v>
      </c>
      <c r="BZ55" s="235">
        <v>1</v>
      </c>
      <c r="CA55" s="235">
        <v>1</v>
      </c>
      <c r="CY55" s="229">
        <v>0</v>
      </c>
    </row>
    <row r="56" spans="1:103" x14ac:dyDescent="0.2">
      <c r="A56" s="455">
        <v>31</v>
      </c>
      <c r="B56" s="456" t="s">
        <v>488</v>
      </c>
      <c r="C56" s="457" t="s">
        <v>489</v>
      </c>
      <c r="D56" s="458" t="s">
        <v>25</v>
      </c>
      <c r="E56" s="459">
        <v>130</v>
      </c>
      <c r="F56" s="459"/>
      <c r="G56" s="486">
        <f t="shared" si="0"/>
        <v>0</v>
      </c>
      <c r="N56" s="235">
        <v>2</v>
      </c>
      <c r="Z56" s="229">
        <v>1</v>
      </c>
      <c r="AA56" s="229">
        <v>1</v>
      </c>
      <c r="AB56" s="229">
        <v>1</v>
      </c>
      <c r="AY56" s="229">
        <v>1</v>
      </c>
      <c r="AZ56" s="229">
        <f t="shared" si="1"/>
        <v>0</v>
      </c>
      <c r="BA56" s="229">
        <f t="shared" si="2"/>
        <v>0</v>
      </c>
      <c r="BB56" s="229">
        <f t="shared" si="3"/>
        <v>0</v>
      </c>
      <c r="BC56" s="229">
        <f t="shared" si="4"/>
        <v>0</v>
      </c>
      <c r="BD56" s="229">
        <f t="shared" si="5"/>
        <v>0</v>
      </c>
      <c r="BZ56" s="235">
        <v>1</v>
      </c>
      <c r="CA56" s="235">
        <v>1</v>
      </c>
      <c r="CY56" s="229">
        <v>0</v>
      </c>
    </row>
    <row r="57" spans="1:103" x14ac:dyDescent="0.2">
      <c r="A57" s="455">
        <v>32</v>
      </c>
      <c r="B57" s="456" t="s">
        <v>490</v>
      </c>
      <c r="C57" s="457" t="s">
        <v>491</v>
      </c>
      <c r="D57" s="458" t="s">
        <v>25</v>
      </c>
      <c r="E57" s="459">
        <v>130</v>
      </c>
      <c r="F57" s="459"/>
      <c r="G57" s="486">
        <f t="shared" si="0"/>
        <v>0</v>
      </c>
      <c r="N57" s="235">
        <v>2</v>
      </c>
      <c r="Z57" s="229">
        <v>1</v>
      </c>
      <c r="AA57" s="229">
        <v>1</v>
      </c>
      <c r="AB57" s="229">
        <v>1</v>
      </c>
      <c r="AY57" s="229">
        <v>1</v>
      </c>
      <c r="AZ57" s="229">
        <f t="shared" si="1"/>
        <v>0</v>
      </c>
      <c r="BA57" s="229">
        <f t="shared" si="2"/>
        <v>0</v>
      </c>
      <c r="BB57" s="229">
        <f t="shared" si="3"/>
        <v>0</v>
      </c>
      <c r="BC57" s="229">
        <f t="shared" si="4"/>
        <v>0</v>
      </c>
      <c r="BD57" s="229">
        <f t="shared" si="5"/>
        <v>0</v>
      </c>
      <c r="BZ57" s="235">
        <v>1</v>
      </c>
      <c r="CA57" s="235">
        <v>1</v>
      </c>
      <c r="CY57" s="229">
        <v>0</v>
      </c>
    </row>
    <row r="58" spans="1:103" x14ac:dyDescent="0.2">
      <c r="A58" s="455">
        <v>33</v>
      </c>
      <c r="B58" s="456" t="s">
        <v>492</v>
      </c>
      <c r="C58" s="457" t="s">
        <v>493</v>
      </c>
      <c r="D58" s="458" t="s">
        <v>494</v>
      </c>
      <c r="E58" s="459">
        <v>1</v>
      </c>
      <c r="F58" s="459"/>
      <c r="G58" s="486">
        <f t="shared" si="0"/>
        <v>0</v>
      </c>
      <c r="N58" s="235">
        <v>2</v>
      </c>
      <c r="Z58" s="229">
        <v>1</v>
      </c>
      <c r="AA58" s="229">
        <v>0</v>
      </c>
      <c r="AB58" s="229">
        <v>0</v>
      </c>
      <c r="AY58" s="229">
        <v>1</v>
      </c>
      <c r="AZ58" s="229">
        <f t="shared" si="1"/>
        <v>0</v>
      </c>
      <c r="BA58" s="229">
        <f t="shared" si="2"/>
        <v>0</v>
      </c>
      <c r="BB58" s="229">
        <f t="shared" si="3"/>
        <v>0</v>
      </c>
      <c r="BC58" s="229">
        <f t="shared" si="4"/>
        <v>0</v>
      </c>
      <c r="BD58" s="229">
        <f t="shared" si="5"/>
        <v>0</v>
      </c>
      <c r="BZ58" s="235">
        <v>1</v>
      </c>
      <c r="CA58" s="235">
        <v>0</v>
      </c>
      <c r="CY58" s="229">
        <v>0</v>
      </c>
    </row>
    <row r="59" spans="1:103" x14ac:dyDescent="0.2">
      <c r="A59" s="455">
        <v>34</v>
      </c>
      <c r="B59" s="456" t="s">
        <v>495</v>
      </c>
      <c r="C59" s="457" t="s">
        <v>496</v>
      </c>
      <c r="D59" s="458" t="s">
        <v>25</v>
      </c>
      <c r="E59" s="459">
        <v>124</v>
      </c>
      <c r="F59" s="459"/>
      <c r="G59" s="486">
        <f t="shared" si="0"/>
        <v>0</v>
      </c>
      <c r="N59" s="235">
        <v>2</v>
      </c>
      <c r="Z59" s="229">
        <v>1</v>
      </c>
      <c r="AA59" s="229">
        <v>1</v>
      </c>
      <c r="AB59" s="229">
        <v>1</v>
      </c>
      <c r="AY59" s="229">
        <v>1</v>
      </c>
      <c r="AZ59" s="229">
        <f t="shared" si="1"/>
        <v>0</v>
      </c>
      <c r="BA59" s="229">
        <f t="shared" si="2"/>
        <v>0</v>
      </c>
      <c r="BB59" s="229">
        <f t="shared" si="3"/>
        <v>0</v>
      </c>
      <c r="BC59" s="229">
        <f t="shared" si="4"/>
        <v>0</v>
      </c>
      <c r="BD59" s="229">
        <f t="shared" si="5"/>
        <v>0</v>
      </c>
      <c r="BZ59" s="235">
        <v>1</v>
      </c>
      <c r="CA59" s="235">
        <v>1</v>
      </c>
      <c r="CY59" s="229">
        <v>8.0000000000000007E-5</v>
      </c>
    </row>
    <row r="60" spans="1:103" x14ac:dyDescent="0.2">
      <c r="A60" s="455">
        <v>35</v>
      </c>
      <c r="B60" s="456" t="s">
        <v>497</v>
      </c>
      <c r="C60" s="457" t="s">
        <v>498</v>
      </c>
      <c r="D60" s="458" t="s">
        <v>25</v>
      </c>
      <c r="E60" s="459">
        <v>130</v>
      </c>
      <c r="F60" s="459"/>
      <c r="G60" s="486">
        <f t="shared" si="0"/>
        <v>0</v>
      </c>
      <c r="N60" s="235">
        <v>2</v>
      </c>
      <c r="Z60" s="229">
        <v>1</v>
      </c>
      <c r="AA60" s="229">
        <v>0</v>
      </c>
      <c r="AB60" s="229">
        <v>0</v>
      </c>
      <c r="AY60" s="229">
        <v>1</v>
      </c>
      <c r="AZ60" s="229">
        <f t="shared" si="1"/>
        <v>0</v>
      </c>
      <c r="BA60" s="229">
        <f t="shared" si="2"/>
        <v>0</v>
      </c>
      <c r="BB60" s="229">
        <f t="shared" si="3"/>
        <v>0</v>
      </c>
      <c r="BC60" s="229">
        <f t="shared" si="4"/>
        <v>0</v>
      </c>
      <c r="BD60" s="229">
        <f t="shared" si="5"/>
        <v>0</v>
      </c>
      <c r="BZ60" s="235">
        <v>1</v>
      </c>
      <c r="CA60" s="235">
        <v>0</v>
      </c>
      <c r="CY60" s="229">
        <v>0</v>
      </c>
    </row>
    <row r="61" spans="1:103" x14ac:dyDescent="0.2">
      <c r="A61" s="455">
        <v>36</v>
      </c>
      <c r="B61" s="456" t="s">
        <v>499</v>
      </c>
      <c r="C61" s="457" t="s">
        <v>500</v>
      </c>
      <c r="D61" s="458" t="s">
        <v>25</v>
      </c>
      <c r="E61" s="459">
        <v>2</v>
      </c>
      <c r="F61" s="459"/>
      <c r="G61" s="486">
        <f t="shared" si="0"/>
        <v>0</v>
      </c>
      <c r="N61" s="235">
        <v>2</v>
      </c>
      <c r="Z61" s="229">
        <v>1</v>
      </c>
      <c r="AA61" s="229">
        <v>1</v>
      </c>
      <c r="AB61" s="229">
        <v>1</v>
      </c>
      <c r="AY61" s="229">
        <v>1</v>
      </c>
      <c r="AZ61" s="229">
        <f t="shared" si="1"/>
        <v>0</v>
      </c>
      <c r="BA61" s="229">
        <f t="shared" si="2"/>
        <v>0</v>
      </c>
      <c r="BB61" s="229">
        <f t="shared" si="3"/>
        <v>0</v>
      </c>
      <c r="BC61" s="229">
        <f t="shared" si="4"/>
        <v>0</v>
      </c>
      <c r="BD61" s="229">
        <f t="shared" si="5"/>
        <v>0</v>
      </c>
      <c r="BZ61" s="235">
        <v>1</v>
      </c>
      <c r="CA61" s="235">
        <v>1</v>
      </c>
      <c r="CY61" s="229">
        <v>2.0000000000000002E-5</v>
      </c>
    </row>
    <row r="62" spans="1:103" x14ac:dyDescent="0.2">
      <c r="A62" s="455">
        <v>37</v>
      </c>
      <c r="B62" s="456" t="s">
        <v>501</v>
      </c>
      <c r="C62" s="457" t="s">
        <v>502</v>
      </c>
      <c r="D62" s="458" t="s">
        <v>25</v>
      </c>
      <c r="E62" s="459">
        <v>4</v>
      </c>
      <c r="F62" s="459"/>
      <c r="G62" s="486">
        <f t="shared" si="0"/>
        <v>0</v>
      </c>
      <c r="N62" s="235">
        <v>2</v>
      </c>
      <c r="Z62" s="229">
        <v>1</v>
      </c>
      <c r="AA62" s="229">
        <v>1</v>
      </c>
      <c r="AB62" s="229">
        <v>1</v>
      </c>
      <c r="AY62" s="229">
        <v>1</v>
      </c>
      <c r="AZ62" s="229">
        <f t="shared" si="1"/>
        <v>0</v>
      </c>
      <c r="BA62" s="229">
        <f t="shared" si="2"/>
        <v>0</v>
      </c>
      <c r="BB62" s="229">
        <f t="shared" si="3"/>
        <v>0</v>
      </c>
      <c r="BC62" s="229">
        <f t="shared" si="4"/>
        <v>0</v>
      </c>
      <c r="BD62" s="229">
        <f t="shared" si="5"/>
        <v>0</v>
      </c>
      <c r="BZ62" s="235">
        <v>1</v>
      </c>
      <c r="CA62" s="235">
        <v>1</v>
      </c>
      <c r="CY62" s="229">
        <v>2.0000000000000002E-5</v>
      </c>
    </row>
    <row r="63" spans="1:103" ht="22.5" x14ac:dyDescent="0.2">
      <c r="A63" s="455">
        <v>38</v>
      </c>
      <c r="B63" s="456" t="s">
        <v>503</v>
      </c>
      <c r="C63" s="457" t="s">
        <v>504</v>
      </c>
      <c r="D63" s="458" t="s">
        <v>25</v>
      </c>
      <c r="E63" s="459">
        <v>6.1</v>
      </c>
      <c r="F63" s="459"/>
      <c r="G63" s="486">
        <f t="shared" si="0"/>
        <v>0</v>
      </c>
      <c r="N63" s="235">
        <v>2</v>
      </c>
      <c r="Z63" s="229">
        <v>1</v>
      </c>
      <c r="AA63" s="229">
        <v>1</v>
      </c>
      <c r="AB63" s="229">
        <v>1</v>
      </c>
      <c r="AY63" s="229">
        <v>1</v>
      </c>
      <c r="AZ63" s="229">
        <f t="shared" si="1"/>
        <v>0</v>
      </c>
      <c r="BA63" s="229">
        <f t="shared" si="2"/>
        <v>0</v>
      </c>
      <c r="BB63" s="229">
        <f t="shared" si="3"/>
        <v>0</v>
      </c>
      <c r="BC63" s="229">
        <f t="shared" si="4"/>
        <v>0</v>
      </c>
      <c r="BD63" s="229">
        <f t="shared" si="5"/>
        <v>0</v>
      </c>
      <c r="BZ63" s="235">
        <v>1</v>
      </c>
      <c r="CA63" s="235">
        <v>1</v>
      </c>
      <c r="CY63" s="229">
        <v>2.0000000000000002E-5</v>
      </c>
    </row>
    <row r="64" spans="1:103" ht="22.5" x14ac:dyDescent="0.2">
      <c r="A64" s="455">
        <v>39</v>
      </c>
      <c r="B64" s="456" t="s">
        <v>805</v>
      </c>
      <c r="C64" s="457" t="s">
        <v>806</v>
      </c>
      <c r="D64" s="458" t="s">
        <v>25</v>
      </c>
      <c r="E64" s="459">
        <v>119.77</v>
      </c>
      <c r="F64" s="459"/>
      <c r="G64" s="486">
        <f t="shared" si="0"/>
        <v>0</v>
      </c>
      <c r="N64" s="235">
        <v>2</v>
      </c>
      <c r="Z64" s="229">
        <v>1</v>
      </c>
      <c r="AA64" s="229">
        <v>1</v>
      </c>
      <c r="AB64" s="229">
        <v>1</v>
      </c>
      <c r="AY64" s="229">
        <v>1</v>
      </c>
      <c r="AZ64" s="229">
        <f t="shared" si="1"/>
        <v>0</v>
      </c>
      <c r="BA64" s="229">
        <f t="shared" si="2"/>
        <v>0</v>
      </c>
      <c r="BB64" s="229">
        <f t="shared" si="3"/>
        <v>0</v>
      </c>
      <c r="BC64" s="229">
        <f t="shared" si="4"/>
        <v>0</v>
      </c>
      <c r="BD64" s="229">
        <f t="shared" si="5"/>
        <v>0</v>
      </c>
      <c r="BZ64" s="235">
        <v>1</v>
      </c>
      <c r="CA64" s="235">
        <v>1</v>
      </c>
      <c r="CY64" s="229">
        <v>2.0000000000000002E-5</v>
      </c>
    </row>
    <row r="65" spans="1:103" ht="22.5" x14ac:dyDescent="0.2">
      <c r="A65" s="455">
        <v>40</v>
      </c>
      <c r="B65" s="456" t="s">
        <v>807</v>
      </c>
      <c r="C65" s="457" t="s">
        <v>808</v>
      </c>
      <c r="D65" s="458" t="s">
        <v>168</v>
      </c>
      <c r="E65" s="459">
        <v>2</v>
      </c>
      <c r="F65" s="459"/>
      <c r="G65" s="486">
        <f t="shared" si="0"/>
        <v>0</v>
      </c>
      <c r="N65" s="235">
        <v>2</v>
      </c>
      <c r="Z65" s="229">
        <v>1</v>
      </c>
      <c r="AA65" s="229">
        <v>1</v>
      </c>
      <c r="AB65" s="229">
        <v>1</v>
      </c>
      <c r="AY65" s="229">
        <v>1</v>
      </c>
      <c r="AZ65" s="229">
        <f t="shared" si="1"/>
        <v>0</v>
      </c>
      <c r="BA65" s="229">
        <f t="shared" si="2"/>
        <v>0</v>
      </c>
      <c r="BB65" s="229">
        <f t="shared" si="3"/>
        <v>0</v>
      </c>
      <c r="BC65" s="229">
        <f t="shared" si="4"/>
        <v>0</v>
      </c>
      <c r="BD65" s="229">
        <f t="shared" si="5"/>
        <v>0</v>
      </c>
      <c r="BZ65" s="235">
        <v>1</v>
      </c>
      <c r="CA65" s="235">
        <v>1</v>
      </c>
      <c r="CY65" s="229">
        <v>1E-4</v>
      </c>
    </row>
    <row r="66" spans="1:103" ht="22.5" x14ac:dyDescent="0.2">
      <c r="A66" s="455">
        <v>41</v>
      </c>
      <c r="B66" s="456" t="s">
        <v>809</v>
      </c>
      <c r="C66" s="457" t="s">
        <v>810</v>
      </c>
      <c r="D66" s="458" t="s">
        <v>168</v>
      </c>
      <c r="E66" s="459">
        <v>1</v>
      </c>
      <c r="F66" s="459"/>
      <c r="G66" s="486">
        <f t="shared" si="0"/>
        <v>0</v>
      </c>
      <c r="N66" s="235">
        <v>2</v>
      </c>
      <c r="Z66" s="229">
        <v>1</v>
      </c>
      <c r="AA66" s="229">
        <v>1</v>
      </c>
      <c r="AB66" s="229">
        <v>1</v>
      </c>
      <c r="AY66" s="229">
        <v>1</v>
      </c>
      <c r="AZ66" s="229">
        <f t="shared" si="1"/>
        <v>0</v>
      </c>
      <c r="BA66" s="229">
        <f t="shared" si="2"/>
        <v>0</v>
      </c>
      <c r="BB66" s="229">
        <f t="shared" si="3"/>
        <v>0</v>
      </c>
      <c r="BC66" s="229">
        <f t="shared" si="4"/>
        <v>0</v>
      </c>
      <c r="BD66" s="229">
        <f t="shared" si="5"/>
        <v>0</v>
      </c>
      <c r="BZ66" s="235">
        <v>1</v>
      </c>
      <c r="CA66" s="235">
        <v>1</v>
      </c>
      <c r="CY66" s="229">
        <v>0</v>
      </c>
    </row>
    <row r="67" spans="1:103" ht="22.5" x14ac:dyDescent="0.2">
      <c r="A67" s="455">
        <v>42</v>
      </c>
      <c r="B67" s="456" t="s">
        <v>811</v>
      </c>
      <c r="C67" s="457" t="s">
        <v>812</v>
      </c>
      <c r="D67" s="458" t="s">
        <v>168</v>
      </c>
      <c r="E67" s="459">
        <v>3</v>
      </c>
      <c r="F67" s="459"/>
      <c r="G67" s="486">
        <f t="shared" si="0"/>
        <v>0</v>
      </c>
      <c r="N67" s="235">
        <v>2</v>
      </c>
      <c r="Z67" s="229">
        <v>1</v>
      </c>
      <c r="AA67" s="229">
        <v>1</v>
      </c>
      <c r="AB67" s="229">
        <v>1</v>
      </c>
      <c r="AY67" s="229">
        <v>1</v>
      </c>
      <c r="AZ67" s="229">
        <f t="shared" si="1"/>
        <v>0</v>
      </c>
      <c r="BA67" s="229">
        <f t="shared" si="2"/>
        <v>0</v>
      </c>
      <c r="BB67" s="229">
        <f t="shared" si="3"/>
        <v>0</v>
      </c>
      <c r="BC67" s="229">
        <f t="shared" si="4"/>
        <v>0</v>
      </c>
      <c r="BD67" s="229">
        <f t="shared" si="5"/>
        <v>0</v>
      </c>
      <c r="BZ67" s="235">
        <v>1</v>
      </c>
      <c r="CA67" s="235">
        <v>1</v>
      </c>
      <c r="CY67" s="229">
        <v>0</v>
      </c>
    </row>
    <row r="68" spans="1:103" ht="22.5" x14ac:dyDescent="0.2">
      <c r="A68" s="455">
        <v>43</v>
      </c>
      <c r="B68" s="456" t="s">
        <v>813</v>
      </c>
      <c r="C68" s="457" t="s">
        <v>814</v>
      </c>
      <c r="D68" s="458" t="s">
        <v>168</v>
      </c>
      <c r="E68" s="459">
        <v>3</v>
      </c>
      <c r="F68" s="459"/>
      <c r="G68" s="486">
        <f t="shared" si="0"/>
        <v>0</v>
      </c>
      <c r="N68" s="235">
        <v>2</v>
      </c>
      <c r="Z68" s="229">
        <v>1</v>
      </c>
      <c r="AA68" s="229">
        <v>1</v>
      </c>
      <c r="AB68" s="229">
        <v>1</v>
      </c>
      <c r="AY68" s="229">
        <v>1</v>
      </c>
      <c r="AZ68" s="229">
        <f t="shared" si="1"/>
        <v>0</v>
      </c>
      <c r="BA68" s="229">
        <f t="shared" si="2"/>
        <v>0</v>
      </c>
      <c r="BB68" s="229">
        <f t="shared" si="3"/>
        <v>0</v>
      </c>
      <c r="BC68" s="229">
        <f t="shared" si="4"/>
        <v>0</v>
      </c>
      <c r="BD68" s="229">
        <f t="shared" si="5"/>
        <v>0</v>
      </c>
      <c r="BZ68" s="235">
        <v>1</v>
      </c>
      <c r="CA68" s="235">
        <v>1</v>
      </c>
      <c r="CY68" s="229">
        <v>0</v>
      </c>
    </row>
    <row r="69" spans="1:103" ht="22.5" x14ac:dyDescent="0.2">
      <c r="A69" s="455">
        <v>44</v>
      </c>
      <c r="B69" s="456" t="s">
        <v>815</v>
      </c>
      <c r="C69" s="457" t="s">
        <v>816</v>
      </c>
      <c r="D69" s="458" t="s">
        <v>168</v>
      </c>
      <c r="E69" s="459">
        <v>1</v>
      </c>
      <c r="F69" s="459"/>
      <c r="G69" s="486">
        <f t="shared" si="0"/>
        <v>0</v>
      </c>
      <c r="N69" s="235">
        <v>2</v>
      </c>
      <c r="Z69" s="229">
        <v>1</v>
      </c>
      <c r="AA69" s="229">
        <v>1</v>
      </c>
      <c r="AB69" s="229">
        <v>1</v>
      </c>
      <c r="AY69" s="229">
        <v>1</v>
      </c>
      <c r="AZ69" s="229">
        <f t="shared" si="1"/>
        <v>0</v>
      </c>
      <c r="BA69" s="229">
        <f t="shared" si="2"/>
        <v>0</v>
      </c>
      <c r="BB69" s="229">
        <f t="shared" si="3"/>
        <v>0</v>
      </c>
      <c r="BC69" s="229">
        <f t="shared" si="4"/>
        <v>0</v>
      </c>
      <c r="BD69" s="229">
        <f t="shared" si="5"/>
        <v>0</v>
      </c>
      <c r="BZ69" s="235">
        <v>1</v>
      </c>
      <c r="CA69" s="235">
        <v>1</v>
      </c>
      <c r="CY69" s="229">
        <v>3.5029999999999999E-2</v>
      </c>
    </row>
    <row r="70" spans="1:103" ht="22.5" x14ac:dyDescent="0.2">
      <c r="A70" s="455">
        <v>45</v>
      </c>
      <c r="B70" s="456" t="s">
        <v>817</v>
      </c>
      <c r="C70" s="457" t="s">
        <v>818</v>
      </c>
      <c r="D70" s="458" t="s">
        <v>168</v>
      </c>
      <c r="E70" s="459">
        <v>6</v>
      </c>
      <c r="F70" s="459"/>
      <c r="G70" s="486">
        <f t="shared" si="0"/>
        <v>0</v>
      </c>
      <c r="N70" s="235">
        <v>2</v>
      </c>
      <c r="Z70" s="229">
        <v>1</v>
      </c>
      <c r="AA70" s="229">
        <v>1</v>
      </c>
      <c r="AB70" s="229">
        <v>1</v>
      </c>
      <c r="AY70" s="229">
        <v>1</v>
      </c>
      <c r="AZ70" s="229">
        <f t="shared" si="1"/>
        <v>0</v>
      </c>
      <c r="BA70" s="229">
        <f t="shared" si="2"/>
        <v>0</v>
      </c>
      <c r="BB70" s="229">
        <f t="shared" si="3"/>
        <v>0</v>
      </c>
      <c r="BC70" s="229">
        <f t="shared" si="4"/>
        <v>0</v>
      </c>
      <c r="BD70" s="229">
        <f t="shared" si="5"/>
        <v>0</v>
      </c>
      <c r="BZ70" s="235">
        <v>1</v>
      </c>
      <c r="CA70" s="235">
        <v>1</v>
      </c>
      <c r="CY70" s="229">
        <v>5.8209999999999998E-2</v>
      </c>
    </row>
    <row r="71" spans="1:103" x14ac:dyDescent="0.2">
      <c r="A71" s="455">
        <v>46</v>
      </c>
      <c r="B71" s="456" t="s">
        <v>505</v>
      </c>
      <c r="C71" s="457" t="s">
        <v>506</v>
      </c>
      <c r="D71" s="458" t="s">
        <v>168</v>
      </c>
      <c r="E71" s="459">
        <v>2</v>
      </c>
      <c r="F71" s="459"/>
      <c r="G71" s="486">
        <f t="shared" si="0"/>
        <v>0</v>
      </c>
      <c r="N71" s="235">
        <v>2</v>
      </c>
      <c r="Z71" s="229">
        <v>1</v>
      </c>
      <c r="AA71" s="229">
        <v>1</v>
      </c>
      <c r="AB71" s="229">
        <v>1</v>
      </c>
      <c r="AY71" s="229">
        <v>1</v>
      </c>
      <c r="AZ71" s="229">
        <f t="shared" si="1"/>
        <v>0</v>
      </c>
      <c r="BA71" s="229">
        <f t="shared" si="2"/>
        <v>0</v>
      </c>
      <c r="BB71" s="229">
        <f t="shared" si="3"/>
        <v>0</v>
      </c>
      <c r="BC71" s="229">
        <f t="shared" si="4"/>
        <v>0</v>
      </c>
      <c r="BD71" s="229">
        <f t="shared" si="5"/>
        <v>0</v>
      </c>
      <c r="BZ71" s="235">
        <v>1</v>
      </c>
      <c r="CA71" s="235">
        <v>1</v>
      </c>
      <c r="CY71" s="229">
        <v>0.29823</v>
      </c>
    </row>
    <row r="72" spans="1:103" ht="22.5" x14ac:dyDescent="0.2">
      <c r="A72" s="455">
        <v>47</v>
      </c>
      <c r="B72" s="456" t="s">
        <v>507</v>
      </c>
      <c r="C72" s="457" t="s">
        <v>819</v>
      </c>
      <c r="D72" s="458" t="s">
        <v>168</v>
      </c>
      <c r="E72" s="459">
        <v>2</v>
      </c>
      <c r="F72" s="459"/>
      <c r="G72" s="486">
        <f t="shared" si="0"/>
        <v>0</v>
      </c>
      <c r="N72" s="235">
        <v>2</v>
      </c>
      <c r="Z72" s="229">
        <v>1</v>
      </c>
      <c r="AA72" s="229">
        <v>1</v>
      </c>
      <c r="AB72" s="229">
        <v>1</v>
      </c>
      <c r="AY72" s="229">
        <v>1</v>
      </c>
      <c r="AZ72" s="229">
        <f t="shared" si="1"/>
        <v>0</v>
      </c>
      <c r="BA72" s="229">
        <f t="shared" si="2"/>
        <v>0</v>
      </c>
      <c r="BB72" s="229">
        <f t="shared" si="3"/>
        <v>0</v>
      </c>
      <c r="BC72" s="229">
        <f t="shared" si="4"/>
        <v>0</v>
      </c>
      <c r="BD72" s="229">
        <f t="shared" si="5"/>
        <v>0</v>
      </c>
      <c r="BZ72" s="235">
        <v>1</v>
      </c>
      <c r="CA72" s="235">
        <v>1</v>
      </c>
      <c r="CY72" s="229">
        <v>0</v>
      </c>
    </row>
    <row r="73" spans="1:103" x14ac:dyDescent="0.2">
      <c r="A73" s="455">
        <v>48</v>
      </c>
      <c r="B73" s="456" t="s">
        <v>508</v>
      </c>
      <c r="C73" s="457" t="s">
        <v>509</v>
      </c>
      <c r="D73" s="458" t="s">
        <v>168</v>
      </c>
      <c r="E73" s="459">
        <v>2</v>
      </c>
      <c r="F73" s="459"/>
      <c r="G73" s="486">
        <f t="shared" si="0"/>
        <v>0</v>
      </c>
      <c r="N73" s="235">
        <v>2</v>
      </c>
      <c r="Z73" s="229">
        <v>1</v>
      </c>
      <c r="AA73" s="229">
        <v>0</v>
      </c>
      <c r="AB73" s="229">
        <v>0</v>
      </c>
      <c r="AY73" s="229">
        <v>1</v>
      </c>
      <c r="AZ73" s="229">
        <f t="shared" si="1"/>
        <v>0</v>
      </c>
      <c r="BA73" s="229">
        <f t="shared" si="2"/>
        <v>0</v>
      </c>
      <c r="BB73" s="229">
        <f t="shared" si="3"/>
        <v>0</v>
      </c>
      <c r="BC73" s="229">
        <f t="shared" si="4"/>
        <v>0</v>
      </c>
      <c r="BD73" s="229">
        <f t="shared" si="5"/>
        <v>0</v>
      </c>
      <c r="BZ73" s="235">
        <v>1</v>
      </c>
      <c r="CA73" s="235">
        <v>0</v>
      </c>
      <c r="CY73" s="229">
        <v>0</v>
      </c>
    </row>
    <row r="74" spans="1:103" ht="22.5" x14ac:dyDescent="0.2">
      <c r="A74" s="455">
        <v>49</v>
      </c>
      <c r="B74" s="456" t="s">
        <v>510</v>
      </c>
      <c r="C74" s="457" t="s">
        <v>511</v>
      </c>
      <c r="D74" s="458" t="s">
        <v>168</v>
      </c>
      <c r="E74" s="459">
        <v>2</v>
      </c>
      <c r="F74" s="459"/>
      <c r="G74" s="486">
        <f t="shared" si="0"/>
        <v>0</v>
      </c>
      <c r="N74" s="235">
        <v>2</v>
      </c>
      <c r="Z74" s="229">
        <v>3</v>
      </c>
      <c r="AA74" s="229">
        <v>1</v>
      </c>
      <c r="AB74" s="229">
        <v>14143001</v>
      </c>
      <c r="AY74" s="229">
        <v>1</v>
      </c>
      <c r="AZ74" s="229">
        <f t="shared" si="1"/>
        <v>0</v>
      </c>
      <c r="BA74" s="229">
        <f t="shared" si="2"/>
        <v>0</v>
      </c>
      <c r="BB74" s="229">
        <f t="shared" si="3"/>
        <v>0</v>
      </c>
      <c r="BC74" s="229">
        <f t="shared" si="4"/>
        <v>0</v>
      </c>
      <c r="BD74" s="229">
        <f t="shared" si="5"/>
        <v>0</v>
      </c>
      <c r="BZ74" s="235">
        <v>3</v>
      </c>
      <c r="CA74" s="235">
        <v>1</v>
      </c>
      <c r="CY74" s="229">
        <v>1.2199999999999999E-3</v>
      </c>
    </row>
    <row r="75" spans="1:103" ht="22.5" x14ac:dyDescent="0.2">
      <c r="A75" s="455">
        <v>50</v>
      </c>
      <c r="B75" s="456" t="s">
        <v>512</v>
      </c>
      <c r="C75" s="457" t="s">
        <v>513</v>
      </c>
      <c r="D75" s="458" t="s">
        <v>168</v>
      </c>
      <c r="E75" s="459">
        <v>2</v>
      </c>
      <c r="F75" s="459"/>
      <c r="G75" s="486">
        <f t="shared" si="0"/>
        <v>0</v>
      </c>
      <c r="N75" s="235">
        <v>2</v>
      </c>
      <c r="Z75" s="229">
        <v>3</v>
      </c>
      <c r="AA75" s="229">
        <v>1</v>
      </c>
      <c r="AB75" s="229">
        <v>14143002</v>
      </c>
      <c r="AY75" s="229">
        <v>1</v>
      </c>
      <c r="AZ75" s="229">
        <f t="shared" si="1"/>
        <v>0</v>
      </c>
      <c r="BA75" s="229">
        <f t="shared" si="2"/>
        <v>0</v>
      </c>
      <c r="BB75" s="229">
        <f t="shared" si="3"/>
        <v>0</v>
      </c>
      <c r="BC75" s="229">
        <f t="shared" si="4"/>
        <v>0</v>
      </c>
      <c r="BD75" s="229">
        <f t="shared" si="5"/>
        <v>0</v>
      </c>
      <c r="BZ75" s="235">
        <v>3</v>
      </c>
      <c r="CA75" s="235">
        <v>1</v>
      </c>
      <c r="CY75" s="229">
        <v>1.2199999999999999E-3</v>
      </c>
    </row>
    <row r="76" spans="1:103" x14ac:dyDescent="0.2">
      <c r="A76" s="460"/>
      <c r="B76" s="461"/>
      <c r="C76" s="522" t="s">
        <v>514</v>
      </c>
      <c r="D76" s="522"/>
      <c r="E76" s="462">
        <v>2</v>
      </c>
      <c r="F76" s="463"/>
      <c r="G76" s="505"/>
      <c r="N76" s="235">
        <v>2</v>
      </c>
      <c r="Z76" s="229">
        <v>3</v>
      </c>
      <c r="AA76" s="229">
        <v>1</v>
      </c>
      <c r="AB76" s="229">
        <v>28612000</v>
      </c>
      <c r="AY76" s="229">
        <v>1</v>
      </c>
      <c r="AZ76" s="229">
        <f t="shared" si="1"/>
        <v>0</v>
      </c>
      <c r="BA76" s="229">
        <f t="shared" si="2"/>
        <v>0</v>
      </c>
      <c r="BB76" s="229">
        <f t="shared" si="3"/>
        <v>0</v>
      </c>
      <c r="BC76" s="229">
        <f t="shared" si="4"/>
        <v>0</v>
      </c>
      <c r="BD76" s="229">
        <f t="shared" si="5"/>
        <v>0</v>
      </c>
      <c r="BZ76" s="235">
        <v>3</v>
      </c>
      <c r="CA76" s="235">
        <v>1</v>
      </c>
      <c r="CY76" s="229">
        <v>2.1000000000000001E-4</v>
      </c>
    </row>
    <row r="77" spans="1:103" x14ac:dyDescent="0.2">
      <c r="A77" s="466"/>
      <c r="B77" s="467" t="s">
        <v>163</v>
      </c>
      <c r="C77" s="468" t="str">
        <f>CONCATENATE(B46," ",C46)</f>
        <v>8 Trubní vedení</v>
      </c>
      <c r="D77" s="469"/>
      <c r="E77" s="470"/>
      <c r="F77" s="491"/>
      <c r="G77" s="492">
        <f>SUM(G46:G76)</f>
        <v>0</v>
      </c>
      <c r="N77" s="235">
        <v>2</v>
      </c>
      <c r="Z77" s="229">
        <v>3</v>
      </c>
      <c r="AA77" s="229">
        <v>1</v>
      </c>
      <c r="AB77" s="229">
        <v>28612003</v>
      </c>
      <c r="AY77" s="229">
        <v>1</v>
      </c>
      <c r="AZ77" s="229">
        <f t="shared" si="1"/>
        <v>0</v>
      </c>
      <c r="BA77" s="229">
        <f t="shared" si="2"/>
        <v>0</v>
      </c>
      <c r="BB77" s="229">
        <f t="shared" si="3"/>
        <v>0</v>
      </c>
      <c r="BC77" s="229">
        <f t="shared" si="4"/>
        <v>0</v>
      </c>
      <c r="BD77" s="229">
        <f t="shared" si="5"/>
        <v>0</v>
      </c>
      <c r="BZ77" s="235">
        <v>3</v>
      </c>
      <c r="CA77" s="235">
        <v>1</v>
      </c>
      <c r="CY77" s="229">
        <v>2.7999999999999998E-4</v>
      </c>
    </row>
    <row r="78" spans="1:103" x14ac:dyDescent="0.2">
      <c r="A78" s="449" t="s">
        <v>159</v>
      </c>
      <c r="B78" s="450" t="s">
        <v>518</v>
      </c>
      <c r="C78" s="451" t="s">
        <v>519</v>
      </c>
      <c r="D78" s="452"/>
      <c r="E78" s="453"/>
      <c r="F78" s="453"/>
      <c r="G78" s="454"/>
      <c r="N78" s="235">
        <v>2</v>
      </c>
      <c r="Z78" s="229">
        <v>3</v>
      </c>
      <c r="AA78" s="229">
        <v>1</v>
      </c>
      <c r="AB78" s="229">
        <v>28612004</v>
      </c>
      <c r="AY78" s="229">
        <v>1</v>
      </c>
      <c r="AZ78" s="229">
        <f t="shared" si="1"/>
        <v>0</v>
      </c>
      <c r="BA78" s="229">
        <f t="shared" si="2"/>
        <v>0</v>
      </c>
      <c r="BB78" s="229">
        <f t="shared" si="3"/>
        <v>0</v>
      </c>
      <c r="BC78" s="229">
        <f t="shared" si="4"/>
        <v>0</v>
      </c>
      <c r="BD78" s="229">
        <f t="shared" si="5"/>
        <v>0</v>
      </c>
      <c r="BZ78" s="235">
        <v>3</v>
      </c>
      <c r="CA78" s="235">
        <v>1</v>
      </c>
      <c r="CY78" s="229">
        <v>3.2000000000000003E-4</v>
      </c>
    </row>
    <row r="79" spans="1:103" x14ac:dyDescent="0.2">
      <c r="A79" s="455">
        <v>51</v>
      </c>
      <c r="B79" s="456" t="s">
        <v>520</v>
      </c>
      <c r="C79" s="457" t="s">
        <v>521</v>
      </c>
      <c r="D79" s="458" t="s">
        <v>16</v>
      </c>
      <c r="E79" s="459">
        <v>51.436348099999996</v>
      </c>
      <c r="F79" s="459"/>
      <c r="G79" s="486">
        <f>E79*F79</f>
        <v>0</v>
      </c>
      <c r="N79" s="235">
        <v>2</v>
      </c>
      <c r="Z79" s="229">
        <v>3</v>
      </c>
      <c r="AA79" s="229">
        <v>1</v>
      </c>
      <c r="AB79" s="229">
        <v>28612005</v>
      </c>
      <c r="AY79" s="229">
        <v>1</v>
      </c>
      <c r="AZ79" s="229">
        <f t="shared" si="1"/>
        <v>0</v>
      </c>
      <c r="BA79" s="229">
        <f t="shared" si="2"/>
        <v>0</v>
      </c>
      <c r="BB79" s="229">
        <f t="shared" si="3"/>
        <v>0</v>
      </c>
      <c r="BC79" s="229">
        <f t="shared" si="4"/>
        <v>0</v>
      </c>
      <c r="BD79" s="229">
        <f t="shared" si="5"/>
        <v>0</v>
      </c>
      <c r="BZ79" s="235">
        <v>3</v>
      </c>
      <c r="CA79" s="235">
        <v>1</v>
      </c>
      <c r="CY79" s="229">
        <v>3.2000000000000003E-4</v>
      </c>
    </row>
    <row r="80" spans="1:103" ht="15.75" customHeight="1" x14ac:dyDescent="0.2">
      <c r="A80" s="466"/>
      <c r="B80" s="467" t="s">
        <v>163</v>
      </c>
      <c r="C80" s="468" t="str">
        <f>CONCATENATE(B78," ",C78)</f>
        <v>99 Staveništní přesun hmot</v>
      </c>
      <c r="D80" s="469"/>
      <c r="E80" s="470"/>
      <c r="F80" s="491"/>
      <c r="G80" s="492">
        <f>SUM(G78:G79)</f>
        <v>0</v>
      </c>
      <c r="N80" s="235">
        <v>2</v>
      </c>
      <c r="Z80" s="229">
        <v>3</v>
      </c>
      <c r="AA80" s="229">
        <v>1</v>
      </c>
      <c r="AB80" s="229">
        <v>28613008</v>
      </c>
      <c r="AY80" s="229">
        <v>1</v>
      </c>
      <c r="AZ80" s="229">
        <f t="shared" si="1"/>
        <v>0</v>
      </c>
      <c r="BA80" s="229">
        <f t="shared" si="2"/>
        <v>0</v>
      </c>
      <c r="BB80" s="229">
        <f t="shared" si="3"/>
        <v>0</v>
      </c>
      <c r="BC80" s="229">
        <f t="shared" si="4"/>
        <v>0</v>
      </c>
      <c r="BD80" s="229">
        <f t="shared" si="5"/>
        <v>0</v>
      </c>
      <c r="BZ80" s="235">
        <v>3</v>
      </c>
      <c r="CA80" s="235">
        <v>1</v>
      </c>
      <c r="CY80" s="229">
        <v>1E-3</v>
      </c>
    </row>
    <row r="81" spans="1:11" x14ac:dyDescent="0.2">
      <c r="E81" s="229"/>
    </row>
    <row r="82" spans="1:11" x14ac:dyDescent="0.2">
      <c r="E82" s="229"/>
    </row>
    <row r="83" spans="1:11" customFormat="1" ht="18" x14ac:dyDescent="0.25">
      <c r="A83" s="471" t="s">
        <v>522</v>
      </c>
      <c r="B83" s="472"/>
      <c r="C83" s="472"/>
      <c r="D83" s="472"/>
      <c r="E83" s="472"/>
      <c r="F83" s="472"/>
      <c r="G83" s="472"/>
      <c r="K83" s="46"/>
    </row>
    <row r="84" spans="1:11" customFormat="1" ht="15" x14ac:dyDescent="0.25">
      <c r="A84" s="385"/>
      <c r="B84" s="385"/>
      <c r="C84" s="385"/>
      <c r="D84" s="385"/>
      <c r="E84" s="385"/>
      <c r="F84" s="385"/>
      <c r="G84" s="385"/>
      <c r="K84" s="46"/>
    </row>
    <row r="85" spans="1:11" customFormat="1" ht="15" x14ac:dyDescent="0.25">
      <c r="A85" s="473"/>
      <c r="B85" s="474" t="s">
        <v>523</v>
      </c>
      <c r="C85" s="474"/>
      <c r="D85" s="474"/>
      <c r="E85" s="474"/>
      <c r="F85" s="474"/>
      <c r="G85" s="475" t="s">
        <v>524</v>
      </c>
      <c r="K85" s="46"/>
    </row>
    <row r="86" spans="1:11" customFormat="1" ht="19.5" customHeight="1" x14ac:dyDescent="0.25">
      <c r="A86" s="476" t="str">
        <f>[3]Položky!B5</f>
        <v>1</v>
      </c>
      <c r="B86" s="477" t="str">
        <f>[3]Položky!C5</f>
        <v>Zemní práce</v>
      </c>
      <c r="C86" s="385"/>
      <c r="D86" s="385"/>
      <c r="E86" s="385"/>
      <c r="F86" s="385"/>
      <c r="G86" s="478">
        <f>G40</f>
        <v>0</v>
      </c>
      <c r="K86" s="46"/>
    </row>
    <row r="87" spans="1:11" customFormat="1" ht="19.5" customHeight="1" x14ac:dyDescent="0.25">
      <c r="A87" s="476" t="str">
        <f>[3]Položky!B53</f>
        <v>45</v>
      </c>
      <c r="B87" s="477" t="str">
        <f>[3]Položky!C53</f>
        <v>Podkladní a vedlejší konstrukce</v>
      </c>
      <c r="C87" s="385"/>
      <c r="D87" s="385"/>
      <c r="E87" s="385"/>
      <c r="F87" s="385"/>
      <c r="G87" s="478">
        <f>G45</f>
        <v>0</v>
      </c>
      <c r="K87" s="46"/>
    </row>
    <row r="88" spans="1:11" customFormat="1" ht="19.5" customHeight="1" x14ac:dyDescent="0.25">
      <c r="A88" s="476" t="str">
        <f>[3]Položky!B62</f>
        <v>8</v>
      </c>
      <c r="B88" s="477" t="str">
        <f>[3]Položky!C62</f>
        <v>Trubní vedení</v>
      </c>
      <c r="C88" s="385"/>
      <c r="D88" s="385"/>
      <c r="E88" s="385"/>
      <c r="F88" s="385"/>
      <c r="G88" s="478">
        <f>G77</f>
        <v>0</v>
      </c>
      <c r="K88" s="46"/>
    </row>
    <row r="89" spans="1:11" customFormat="1" ht="19.5" customHeight="1" thickBot="1" x14ac:dyDescent="0.3">
      <c r="A89" s="476" t="str">
        <f>[3]Položky!B133</f>
        <v>99</v>
      </c>
      <c r="B89" s="477" t="str">
        <f>[3]Položky!C133</f>
        <v>Staveništní přesun hmot</v>
      </c>
      <c r="C89" s="385"/>
      <c r="D89" s="385"/>
      <c r="E89" s="385"/>
      <c r="F89" s="385"/>
      <c r="G89" s="478">
        <f>G80</f>
        <v>0</v>
      </c>
      <c r="K89" s="46"/>
    </row>
    <row r="90" spans="1:11" s="482" customFormat="1" ht="21" customHeight="1" thickBot="1" x14ac:dyDescent="0.25">
      <c r="A90" s="479"/>
      <c r="B90" s="480" t="s">
        <v>525</v>
      </c>
      <c r="C90" s="480"/>
      <c r="D90" s="480"/>
      <c r="E90" s="480"/>
      <c r="F90" s="480"/>
      <c r="G90" s="481">
        <f>SUM(G86:G89)</f>
        <v>0</v>
      </c>
      <c r="K90" s="483"/>
    </row>
    <row r="91" spans="1:11" x14ac:dyDescent="0.2">
      <c r="E91" s="229"/>
    </row>
    <row r="92" spans="1:11" x14ac:dyDescent="0.2">
      <c r="E92" s="229"/>
    </row>
    <row r="93" spans="1:11" x14ac:dyDescent="0.2">
      <c r="E93" s="229"/>
    </row>
    <row r="94" spans="1:11" x14ac:dyDescent="0.2">
      <c r="E94" s="229"/>
    </row>
    <row r="95" spans="1:11" x14ac:dyDescent="0.2">
      <c r="E95" s="229"/>
    </row>
    <row r="96" spans="1:11" x14ac:dyDescent="0.2">
      <c r="E96" s="229"/>
    </row>
    <row r="97" spans="5:5" x14ac:dyDescent="0.2">
      <c r="E97" s="229"/>
    </row>
    <row r="98" spans="5:5" x14ac:dyDescent="0.2">
      <c r="E98" s="229"/>
    </row>
    <row r="99" spans="5:5" x14ac:dyDescent="0.2">
      <c r="E99" s="229"/>
    </row>
    <row r="100" spans="5:5" x14ac:dyDescent="0.2">
      <c r="E100" s="229"/>
    </row>
    <row r="101" spans="5:5" x14ac:dyDescent="0.2">
      <c r="E101" s="229"/>
    </row>
    <row r="102" spans="5:5" x14ac:dyDescent="0.2">
      <c r="E102" s="229"/>
    </row>
    <row r="103" spans="5:5" x14ac:dyDescent="0.2">
      <c r="E103" s="229"/>
    </row>
    <row r="104" spans="5:5" x14ac:dyDescent="0.2">
      <c r="E104" s="229"/>
    </row>
    <row r="105" spans="5:5" x14ac:dyDescent="0.2">
      <c r="E105" s="229"/>
    </row>
    <row r="106" spans="5:5" x14ac:dyDescent="0.2">
      <c r="E106" s="229"/>
    </row>
    <row r="107" spans="5:5" x14ac:dyDescent="0.2">
      <c r="E107" s="229"/>
    </row>
    <row r="108" spans="5:5" x14ac:dyDescent="0.2">
      <c r="E108" s="229"/>
    </row>
    <row r="109" spans="5:5" x14ac:dyDescent="0.2">
      <c r="E109" s="229"/>
    </row>
    <row r="110" spans="5:5" x14ac:dyDescent="0.2">
      <c r="E110" s="229"/>
    </row>
    <row r="111" spans="5:5" x14ac:dyDescent="0.2">
      <c r="E111" s="229"/>
    </row>
    <row r="112" spans="5:5" x14ac:dyDescent="0.2">
      <c r="E112" s="229"/>
    </row>
    <row r="113" spans="5:5" x14ac:dyDescent="0.2">
      <c r="E113" s="229"/>
    </row>
    <row r="114" spans="5:5" x14ac:dyDescent="0.2">
      <c r="E114" s="229"/>
    </row>
    <row r="115" spans="5:5" x14ac:dyDescent="0.2">
      <c r="E115" s="229"/>
    </row>
    <row r="116" spans="5:5" x14ac:dyDescent="0.2">
      <c r="E116" s="229"/>
    </row>
    <row r="117" spans="5:5" x14ac:dyDescent="0.2">
      <c r="E117" s="229"/>
    </row>
    <row r="118" spans="5:5" x14ac:dyDescent="0.2">
      <c r="E118" s="229"/>
    </row>
    <row r="119" spans="5:5" x14ac:dyDescent="0.2">
      <c r="E119" s="229"/>
    </row>
    <row r="120" spans="5:5" x14ac:dyDescent="0.2">
      <c r="E120" s="229"/>
    </row>
    <row r="121" spans="5:5" x14ac:dyDescent="0.2">
      <c r="E121" s="229"/>
    </row>
    <row r="122" spans="5:5" x14ac:dyDescent="0.2">
      <c r="E122" s="229"/>
    </row>
    <row r="123" spans="5:5" x14ac:dyDescent="0.2">
      <c r="E123" s="229"/>
    </row>
    <row r="124" spans="5:5" x14ac:dyDescent="0.2">
      <c r="E124" s="229"/>
    </row>
    <row r="125" spans="5:5" x14ac:dyDescent="0.2">
      <c r="E125" s="229"/>
    </row>
    <row r="126" spans="5:5" x14ac:dyDescent="0.2">
      <c r="E126" s="229"/>
    </row>
    <row r="127" spans="5:5" x14ac:dyDescent="0.2">
      <c r="E127" s="229"/>
    </row>
    <row r="128" spans="5:5" x14ac:dyDescent="0.2">
      <c r="E128" s="229"/>
    </row>
    <row r="129" spans="1:7" x14ac:dyDescent="0.2">
      <c r="E129" s="229"/>
    </row>
    <row r="130" spans="1:7" x14ac:dyDescent="0.2">
      <c r="E130" s="229"/>
    </row>
    <row r="131" spans="1:7" x14ac:dyDescent="0.2">
      <c r="E131" s="229"/>
    </row>
    <row r="132" spans="1:7" x14ac:dyDescent="0.2">
      <c r="E132" s="229"/>
    </row>
    <row r="133" spans="1:7" x14ac:dyDescent="0.2">
      <c r="E133" s="229"/>
    </row>
    <row r="134" spans="1:7" x14ac:dyDescent="0.2">
      <c r="E134" s="229"/>
    </row>
    <row r="135" spans="1:7" x14ac:dyDescent="0.2">
      <c r="A135" s="247"/>
      <c r="B135" s="247"/>
    </row>
    <row r="136" spans="1:7" x14ac:dyDescent="0.2">
      <c r="C136" s="248"/>
      <c r="D136" s="248"/>
      <c r="E136" s="485"/>
      <c r="F136" s="248"/>
      <c r="G136" s="249"/>
    </row>
    <row r="137" spans="1:7" x14ac:dyDescent="0.2">
      <c r="A137" s="247"/>
      <c r="B137" s="247"/>
    </row>
  </sheetData>
  <sheetProtection selectLockedCells="1" selectUnlockedCells="1"/>
  <mergeCells count="20">
    <mergeCell ref="C7:D7"/>
    <mergeCell ref="C8:D8"/>
    <mergeCell ref="C12:D12"/>
    <mergeCell ref="C16:D16"/>
    <mergeCell ref="C11:D11"/>
    <mergeCell ref="C15:D15"/>
    <mergeCell ref="C21:D21"/>
    <mergeCell ref="C19:D19"/>
    <mergeCell ref="C23:D23"/>
    <mergeCell ref="C25:D25"/>
    <mergeCell ref="C44:D44"/>
    <mergeCell ref="C32:D32"/>
    <mergeCell ref="C27:D27"/>
    <mergeCell ref="C29:D29"/>
    <mergeCell ref="C76:D76"/>
    <mergeCell ref="C33:D33"/>
    <mergeCell ref="C35:D35"/>
    <mergeCell ref="C37:D37"/>
    <mergeCell ref="C39:D39"/>
    <mergeCell ref="C43:D43"/>
  </mergeCells>
  <pageMargins left="0.51" right="0.39374999999999999" top="0.35" bottom="0.72" header="0.31" footer="0.36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B8832-7944-4205-A27E-3DAEDE715DAF}">
  <sheetPr>
    <tabColor theme="5" tint="-0.249977111117893"/>
  </sheetPr>
  <dimension ref="A1:CU334"/>
  <sheetViews>
    <sheetView topLeftCell="A272" workbookViewId="0">
      <selection activeCell="F274" sqref="F274"/>
    </sheetView>
  </sheetViews>
  <sheetFormatPr defaultRowHeight="12.75" x14ac:dyDescent="0.2"/>
  <cols>
    <col min="1" max="1" width="4.42578125" style="229" customWidth="1"/>
    <col min="2" max="2" width="11.5703125" style="229" customWidth="1"/>
    <col min="3" max="3" width="40.42578125" style="229" customWidth="1"/>
    <col min="4" max="4" width="5.5703125" style="229" customWidth="1"/>
    <col min="5" max="5" width="8.5703125" style="484" customWidth="1"/>
    <col min="6" max="6" width="9.85546875" style="229" customWidth="1"/>
    <col min="7" max="7" width="13.85546875" style="229" customWidth="1"/>
    <col min="8" max="8" width="45.28515625" style="229" customWidth="1"/>
    <col min="9" max="251" width="9.140625" style="229"/>
    <col min="252" max="252" width="4.42578125" style="229" customWidth="1"/>
    <col min="253" max="253" width="11.5703125" style="229" customWidth="1"/>
    <col min="254" max="254" width="40.42578125" style="229" customWidth="1"/>
    <col min="255" max="255" width="5.5703125" style="229" customWidth="1"/>
    <col min="256" max="256" width="8.5703125" style="229" customWidth="1"/>
    <col min="257" max="257" width="9.85546875" style="229" customWidth="1"/>
    <col min="258" max="258" width="13.85546875" style="229" customWidth="1"/>
    <col min="259" max="262" width="9.140625" style="229"/>
    <col min="263" max="263" width="75.42578125" style="229" customWidth="1"/>
    <col min="264" max="264" width="45.28515625" style="229" customWidth="1"/>
    <col min="265" max="507" width="9.140625" style="229"/>
    <col min="508" max="508" width="4.42578125" style="229" customWidth="1"/>
    <col min="509" max="509" width="11.5703125" style="229" customWidth="1"/>
    <col min="510" max="510" width="40.42578125" style="229" customWidth="1"/>
    <col min="511" max="511" width="5.5703125" style="229" customWidth="1"/>
    <col min="512" max="512" width="8.5703125" style="229" customWidth="1"/>
    <col min="513" max="513" width="9.85546875" style="229" customWidth="1"/>
    <col min="514" max="514" width="13.85546875" style="229" customWidth="1"/>
    <col min="515" max="518" width="9.140625" style="229"/>
    <col min="519" max="519" width="75.42578125" style="229" customWidth="1"/>
    <col min="520" max="520" width="45.28515625" style="229" customWidth="1"/>
    <col min="521" max="763" width="9.140625" style="229"/>
    <col min="764" max="764" width="4.42578125" style="229" customWidth="1"/>
    <col min="765" max="765" width="11.5703125" style="229" customWidth="1"/>
    <col min="766" max="766" width="40.42578125" style="229" customWidth="1"/>
    <col min="767" max="767" width="5.5703125" style="229" customWidth="1"/>
    <col min="768" max="768" width="8.5703125" style="229" customWidth="1"/>
    <col min="769" max="769" width="9.85546875" style="229" customWidth="1"/>
    <col min="770" max="770" width="13.85546875" style="229" customWidth="1"/>
    <col min="771" max="774" width="9.140625" style="229"/>
    <col min="775" max="775" width="75.42578125" style="229" customWidth="1"/>
    <col min="776" max="776" width="45.28515625" style="229" customWidth="1"/>
    <col min="777" max="1019" width="9.140625" style="229"/>
    <col min="1020" max="1020" width="4.42578125" style="229" customWidth="1"/>
    <col min="1021" max="1021" width="11.5703125" style="229" customWidth="1"/>
    <col min="1022" max="1022" width="40.42578125" style="229" customWidth="1"/>
    <col min="1023" max="1023" width="5.5703125" style="229" customWidth="1"/>
    <col min="1024" max="1024" width="8.5703125" style="229" customWidth="1"/>
    <col min="1025" max="1025" width="9.85546875" style="229" customWidth="1"/>
    <col min="1026" max="1026" width="13.85546875" style="229" customWidth="1"/>
    <col min="1027" max="1030" width="9.140625" style="229"/>
    <col min="1031" max="1031" width="75.42578125" style="229" customWidth="1"/>
    <col min="1032" max="1032" width="45.28515625" style="229" customWidth="1"/>
    <col min="1033" max="1275" width="9.140625" style="229"/>
    <col min="1276" max="1276" width="4.42578125" style="229" customWidth="1"/>
    <col min="1277" max="1277" width="11.5703125" style="229" customWidth="1"/>
    <col min="1278" max="1278" width="40.42578125" style="229" customWidth="1"/>
    <col min="1279" max="1279" width="5.5703125" style="229" customWidth="1"/>
    <col min="1280" max="1280" width="8.5703125" style="229" customWidth="1"/>
    <col min="1281" max="1281" width="9.85546875" style="229" customWidth="1"/>
    <col min="1282" max="1282" width="13.85546875" style="229" customWidth="1"/>
    <col min="1283" max="1286" width="9.140625" style="229"/>
    <col min="1287" max="1287" width="75.42578125" style="229" customWidth="1"/>
    <col min="1288" max="1288" width="45.28515625" style="229" customWidth="1"/>
    <col min="1289" max="1531" width="9.140625" style="229"/>
    <col min="1532" max="1532" width="4.42578125" style="229" customWidth="1"/>
    <col min="1533" max="1533" width="11.5703125" style="229" customWidth="1"/>
    <col min="1534" max="1534" width="40.42578125" style="229" customWidth="1"/>
    <col min="1535" max="1535" width="5.5703125" style="229" customWidth="1"/>
    <col min="1536" max="1536" width="8.5703125" style="229" customWidth="1"/>
    <col min="1537" max="1537" width="9.85546875" style="229" customWidth="1"/>
    <col min="1538" max="1538" width="13.85546875" style="229" customWidth="1"/>
    <col min="1539" max="1542" width="9.140625" style="229"/>
    <col min="1543" max="1543" width="75.42578125" style="229" customWidth="1"/>
    <col min="1544" max="1544" width="45.28515625" style="229" customWidth="1"/>
    <col min="1545" max="1787" width="9.140625" style="229"/>
    <col min="1788" max="1788" width="4.42578125" style="229" customWidth="1"/>
    <col min="1789" max="1789" width="11.5703125" style="229" customWidth="1"/>
    <col min="1790" max="1790" width="40.42578125" style="229" customWidth="1"/>
    <col min="1791" max="1791" width="5.5703125" style="229" customWidth="1"/>
    <col min="1792" max="1792" width="8.5703125" style="229" customWidth="1"/>
    <col min="1793" max="1793" width="9.85546875" style="229" customWidth="1"/>
    <col min="1794" max="1794" width="13.85546875" style="229" customWidth="1"/>
    <col min="1795" max="1798" width="9.140625" style="229"/>
    <col min="1799" max="1799" width="75.42578125" style="229" customWidth="1"/>
    <col min="1800" max="1800" width="45.28515625" style="229" customWidth="1"/>
    <col min="1801" max="2043" width="9.140625" style="229"/>
    <col min="2044" max="2044" width="4.42578125" style="229" customWidth="1"/>
    <col min="2045" max="2045" width="11.5703125" style="229" customWidth="1"/>
    <col min="2046" max="2046" width="40.42578125" style="229" customWidth="1"/>
    <col min="2047" max="2047" width="5.5703125" style="229" customWidth="1"/>
    <col min="2048" max="2048" width="8.5703125" style="229" customWidth="1"/>
    <col min="2049" max="2049" width="9.85546875" style="229" customWidth="1"/>
    <col min="2050" max="2050" width="13.85546875" style="229" customWidth="1"/>
    <col min="2051" max="2054" width="9.140625" style="229"/>
    <col min="2055" max="2055" width="75.42578125" style="229" customWidth="1"/>
    <col min="2056" max="2056" width="45.28515625" style="229" customWidth="1"/>
    <col min="2057" max="2299" width="9.140625" style="229"/>
    <col min="2300" max="2300" width="4.42578125" style="229" customWidth="1"/>
    <col min="2301" max="2301" width="11.5703125" style="229" customWidth="1"/>
    <col min="2302" max="2302" width="40.42578125" style="229" customWidth="1"/>
    <col min="2303" max="2303" width="5.5703125" style="229" customWidth="1"/>
    <col min="2304" max="2304" width="8.5703125" style="229" customWidth="1"/>
    <col min="2305" max="2305" width="9.85546875" style="229" customWidth="1"/>
    <col min="2306" max="2306" width="13.85546875" style="229" customWidth="1"/>
    <col min="2307" max="2310" width="9.140625" style="229"/>
    <col min="2311" max="2311" width="75.42578125" style="229" customWidth="1"/>
    <col min="2312" max="2312" width="45.28515625" style="229" customWidth="1"/>
    <col min="2313" max="2555" width="9.140625" style="229"/>
    <col min="2556" max="2556" width="4.42578125" style="229" customWidth="1"/>
    <col min="2557" max="2557" width="11.5703125" style="229" customWidth="1"/>
    <col min="2558" max="2558" width="40.42578125" style="229" customWidth="1"/>
    <col min="2559" max="2559" width="5.5703125" style="229" customWidth="1"/>
    <col min="2560" max="2560" width="8.5703125" style="229" customWidth="1"/>
    <col min="2561" max="2561" width="9.85546875" style="229" customWidth="1"/>
    <col min="2562" max="2562" width="13.85546875" style="229" customWidth="1"/>
    <col min="2563" max="2566" width="9.140625" style="229"/>
    <col min="2567" max="2567" width="75.42578125" style="229" customWidth="1"/>
    <col min="2568" max="2568" width="45.28515625" style="229" customWidth="1"/>
    <col min="2569" max="2811" width="9.140625" style="229"/>
    <col min="2812" max="2812" width="4.42578125" style="229" customWidth="1"/>
    <col min="2813" max="2813" width="11.5703125" style="229" customWidth="1"/>
    <col min="2814" max="2814" width="40.42578125" style="229" customWidth="1"/>
    <col min="2815" max="2815" width="5.5703125" style="229" customWidth="1"/>
    <col min="2816" max="2816" width="8.5703125" style="229" customWidth="1"/>
    <col min="2817" max="2817" width="9.85546875" style="229" customWidth="1"/>
    <col min="2818" max="2818" width="13.85546875" style="229" customWidth="1"/>
    <col min="2819" max="2822" width="9.140625" style="229"/>
    <col min="2823" max="2823" width="75.42578125" style="229" customWidth="1"/>
    <col min="2824" max="2824" width="45.28515625" style="229" customWidth="1"/>
    <col min="2825" max="3067" width="9.140625" style="229"/>
    <col min="3068" max="3068" width="4.42578125" style="229" customWidth="1"/>
    <col min="3069" max="3069" width="11.5703125" style="229" customWidth="1"/>
    <col min="3070" max="3070" width="40.42578125" style="229" customWidth="1"/>
    <col min="3071" max="3071" width="5.5703125" style="229" customWidth="1"/>
    <col min="3072" max="3072" width="8.5703125" style="229" customWidth="1"/>
    <col min="3073" max="3073" width="9.85546875" style="229" customWidth="1"/>
    <col min="3074" max="3074" width="13.85546875" style="229" customWidth="1"/>
    <col min="3075" max="3078" width="9.140625" style="229"/>
    <col min="3079" max="3079" width="75.42578125" style="229" customWidth="1"/>
    <col min="3080" max="3080" width="45.28515625" style="229" customWidth="1"/>
    <col min="3081" max="3323" width="9.140625" style="229"/>
    <col min="3324" max="3324" width="4.42578125" style="229" customWidth="1"/>
    <col min="3325" max="3325" width="11.5703125" style="229" customWidth="1"/>
    <col min="3326" max="3326" width="40.42578125" style="229" customWidth="1"/>
    <col min="3327" max="3327" width="5.5703125" style="229" customWidth="1"/>
    <col min="3328" max="3328" width="8.5703125" style="229" customWidth="1"/>
    <col min="3329" max="3329" width="9.85546875" style="229" customWidth="1"/>
    <col min="3330" max="3330" width="13.85546875" style="229" customWidth="1"/>
    <col min="3331" max="3334" width="9.140625" style="229"/>
    <col min="3335" max="3335" width="75.42578125" style="229" customWidth="1"/>
    <col min="3336" max="3336" width="45.28515625" style="229" customWidth="1"/>
    <col min="3337" max="3579" width="9.140625" style="229"/>
    <col min="3580" max="3580" width="4.42578125" style="229" customWidth="1"/>
    <col min="3581" max="3581" width="11.5703125" style="229" customWidth="1"/>
    <col min="3582" max="3582" width="40.42578125" style="229" customWidth="1"/>
    <col min="3583" max="3583" width="5.5703125" style="229" customWidth="1"/>
    <col min="3584" max="3584" width="8.5703125" style="229" customWidth="1"/>
    <col min="3585" max="3585" width="9.85546875" style="229" customWidth="1"/>
    <col min="3586" max="3586" width="13.85546875" style="229" customWidth="1"/>
    <col min="3587" max="3590" width="9.140625" style="229"/>
    <col min="3591" max="3591" width="75.42578125" style="229" customWidth="1"/>
    <col min="3592" max="3592" width="45.28515625" style="229" customWidth="1"/>
    <col min="3593" max="3835" width="9.140625" style="229"/>
    <col min="3836" max="3836" width="4.42578125" style="229" customWidth="1"/>
    <col min="3837" max="3837" width="11.5703125" style="229" customWidth="1"/>
    <col min="3838" max="3838" width="40.42578125" style="229" customWidth="1"/>
    <col min="3839" max="3839" width="5.5703125" style="229" customWidth="1"/>
    <col min="3840" max="3840" width="8.5703125" style="229" customWidth="1"/>
    <col min="3841" max="3841" width="9.85546875" style="229" customWidth="1"/>
    <col min="3842" max="3842" width="13.85546875" style="229" customWidth="1"/>
    <col min="3843" max="3846" width="9.140625" style="229"/>
    <col min="3847" max="3847" width="75.42578125" style="229" customWidth="1"/>
    <col min="3848" max="3848" width="45.28515625" style="229" customWidth="1"/>
    <col min="3849" max="4091" width="9.140625" style="229"/>
    <col min="4092" max="4092" width="4.42578125" style="229" customWidth="1"/>
    <col min="4093" max="4093" width="11.5703125" style="229" customWidth="1"/>
    <col min="4094" max="4094" width="40.42578125" style="229" customWidth="1"/>
    <col min="4095" max="4095" width="5.5703125" style="229" customWidth="1"/>
    <col min="4096" max="4096" width="8.5703125" style="229" customWidth="1"/>
    <col min="4097" max="4097" width="9.85546875" style="229" customWidth="1"/>
    <col min="4098" max="4098" width="13.85546875" style="229" customWidth="1"/>
    <col min="4099" max="4102" width="9.140625" style="229"/>
    <col min="4103" max="4103" width="75.42578125" style="229" customWidth="1"/>
    <col min="4104" max="4104" width="45.28515625" style="229" customWidth="1"/>
    <col min="4105" max="4347" width="9.140625" style="229"/>
    <col min="4348" max="4348" width="4.42578125" style="229" customWidth="1"/>
    <col min="4349" max="4349" width="11.5703125" style="229" customWidth="1"/>
    <col min="4350" max="4350" width="40.42578125" style="229" customWidth="1"/>
    <col min="4351" max="4351" width="5.5703125" style="229" customWidth="1"/>
    <col min="4352" max="4352" width="8.5703125" style="229" customWidth="1"/>
    <col min="4353" max="4353" width="9.85546875" style="229" customWidth="1"/>
    <col min="4354" max="4354" width="13.85546875" style="229" customWidth="1"/>
    <col min="4355" max="4358" width="9.140625" style="229"/>
    <col min="4359" max="4359" width="75.42578125" style="229" customWidth="1"/>
    <col min="4360" max="4360" width="45.28515625" style="229" customWidth="1"/>
    <col min="4361" max="4603" width="9.140625" style="229"/>
    <col min="4604" max="4604" width="4.42578125" style="229" customWidth="1"/>
    <col min="4605" max="4605" width="11.5703125" style="229" customWidth="1"/>
    <col min="4606" max="4606" width="40.42578125" style="229" customWidth="1"/>
    <col min="4607" max="4607" width="5.5703125" style="229" customWidth="1"/>
    <col min="4608" max="4608" width="8.5703125" style="229" customWidth="1"/>
    <col min="4609" max="4609" width="9.85546875" style="229" customWidth="1"/>
    <col min="4610" max="4610" width="13.85546875" style="229" customWidth="1"/>
    <col min="4611" max="4614" width="9.140625" style="229"/>
    <col min="4615" max="4615" width="75.42578125" style="229" customWidth="1"/>
    <col min="4616" max="4616" width="45.28515625" style="229" customWidth="1"/>
    <col min="4617" max="4859" width="9.140625" style="229"/>
    <col min="4860" max="4860" width="4.42578125" style="229" customWidth="1"/>
    <col min="4861" max="4861" width="11.5703125" style="229" customWidth="1"/>
    <col min="4862" max="4862" width="40.42578125" style="229" customWidth="1"/>
    <col min="4863" max="4863" width="5.5703125" style="229" customWidth="1"/>
    <col min="4864" max="4864" width="8.5703125" style="229" customWidth="1"/>
    <col min="4865" max="4865" width="9.85546875" style="229" customWidth="1"/>
    <col min="4866" max="4866" width="13.85546875" style="229" customWidth="1"/>
    <col min="4867" max="4870" width="9.140625" style="229"/>
    <col min="4871" max="4871" width="75.42578125" style="229" customWidth="1"/>
    <col min="4872" max="4872" width="45.28515625" style="229" customWidth="1"/>
    <col min="4873" max="5115" width="9.140625" style="229"/>
    <col min="5116" max="5116" width="4.42578125" style="229" customWidth="1"/>
    <col min="5117" max="5117" width="11.5703125" style="229" customWidth="1"/>
    <col min="5118" max="5118" width="40.42578125" style="229" customWidth="1"/>
    <col min="5119" max="5119" width="5.5703125" style="229" customWidth="1"/>
    <col min="5120" max="5120" width="8.5703125" style="229" customWidth="1"/>
    <col min="5121" max="5121" width="9.85546875" style="229" customWidth="1"/>
    <col min="5122" max="5122" width="13.85546875" style="229" customWidth="1"/>
    <col min="5123" max="5126" width="9.140625" style="229"/>
    <col min="5127" max="5127" width="75.42578125" style="229" customWidth="1"/>
    <col min="5128" max="5128" width="45.28515625" style="229" customWidth="1"/>
    <col min="5129" max="5371" width="9.140625" style="229"/>
    <col min="5372" max="5372" width="4.42578125" style="229" customWidth="1"/>
    <col min="5373" max="5373" width="11.5703125" style="229" customWidth="1"/>
    <col min="5374" max="5374" width="40.42578125" style="229" customWidth="1"/>
    <col min="5375" max="5375" width="5.5703125" style="229" customWidth="1"/>
    <col min="5376" max="5376" width="8.5703125" style="229" customWidth="1"/>
    <col min="5377" max="5377" width="9.85546875" style="229" customWidth="1"/>
    <col min="5378" max="5378" width="13.85546875" style="229" customWidth="1"/>
    <col min="5379" max="5382" width="9.140625" style="229"/>
    <col min="5383" max="5383" width="75.42578125" style="229" customWidth="1"/>
    <col min="5384" max="5384" width="45.28515625" style="229" customWidth="1"/>
    <col min="5385" max="5627" width="9.140625" style="229"/>
    <col min="5628" max="5628" width="4.42578125" style="229" customWidth="1"/>
    <col min="5629" max="5629" width="11.5703125" style="229" customWidth="1"/>
    <col min="5630" max="5630" width="40.42578125" style="229" customWidth="1"/>
    <col min="5631" max="5631" width="5.5703125" style="229" customWidth="1"/>
    <col min="5632" max="5632" width="8.5703125" style="229" customWidth="1"/>
    <col min="5633" max="5633" width="9.85546875" style="229" customWidth="1"/>
    <col min="5634" max="5634" width="13.85546875" style="229" customWidth="1"/>
    <col min="5635" max="5638" width="9.140625" style="229"/>
    <col min="5639" max="5639" width="75.42578125" style="229" customWidth="1"/>
    <col min="5640" max="5640" width="45.28515625" style="229" customWidth="1"/>
    <col min="5641" max="5883" width="9.140625" style="229"/>
    <col min="5884" max="5884" width="4.42578125" style="229" customWidth="1"/>
    <col min="5885" max="5885" width="11.5703125" style="229" customWidth="1"/>
    <col min="5886" max="5886" width="40.42578125" style="229" customWidth="1"/>
    <col min="5887" max="5887" width="5.5703125" style="229" customWidth="1"/>
    <col min="5888" max="5888" width="8.5703125" style="229" customWidth="1"/>
    <col min="5889" max="5889" width="9.85546875" style="229" customWidth="1"/>
    <col min="5890" max="5890" width="13.85546875" style="229" customWidth="1"/>
    <col min="5891" max="5894" width="9.140625" style="229"/>
    <col min="5895" max="5895" width="75.42578125" style="229" customWidth="1"/>
    <col min="5896" max="5896" width="45.28515625" style="229" customWidth="1"/>
    <col min="5897" max="6139" width="9.140625" style="229"/>
    <col min="6140" max="6140" width="4.42578125" style="229" customWidth="1"/>
    <col min="6141" max="6141" width="11.5703125" style="229" customWidth="1"/>
    <col min="6142" max="6142" width="40.42578125" style="229" customWidth="1"/>
    <col min="6143" max="6143" width="5.5703125" style="229" customWidth="1"/>
    <col min="6144" max="6144" width="8.5703125" style="229" customWidth="1"/>
    <col min="6145" max="6145" width="9.85546875" style="229" customWidth="1"/>
    <col min="6146" max="6146" width="13.85546875" style="229" customWidth="1"/>
    <col min="6147" max="6150" width="9.140625" style="229"/>
    <col min="6151" max="6151" width="75.42578125" style="229" customWidth="1"/>
    <col min="6152" max="6152" width="45.28515625" style="229" customWidth="1"/>
    <col min="6153" max="6395" width="9.140625" style="229"/>
    <col min="6396" max="6396" width="4.42578125" style="229" customWidth="1"/>
    <col min="6397" max="6397" width="11.5703125" style="229" customWidth="1"/>
    <col min="6398" max="6398" width="40.42578125" style="229" customWidth="1"/>
    <col min="6399" max="6399" width="5.5703125" style="229" customWidth="1"/>
    <col min="6400" max="6400" width="8.5703125" style="229" customWidth="1"/>
    <col min="6401" max="6401" width="9.85546875" style="229" customWidth="1"/>
    <col min="6402" max="6402" width="13.85546875" style="229" customWidth="1"/>
    <col min="6403" max="6406" width="9.140625" style="229"/>
    <col min="6407" max="6407" width="75.42578125" style="229" customWidth="1"/>
    <col min="6408" max="6408" width="45.28515625" style="229" customWidth="1"/>
    <col min="6409" max="6651" width="9.140625" style="229"/>
    <col min="6652" max="6652" width="4.42578125" style="229" customWidth="1"/>
    <col min="6653" max="6653" width="11.5703125" style="229" customWidth="1"/>
    <col min="6654" max="6654" width="40.42578125" style="229" customWidth="1"/>
    <col min="6655" max="6655" width="5.5703125" style="229" customWidth="1"/>
    <col min="6656" max="6656" width="8.5703125" style="229" customWidth="1"/>
    <col min="6657" max="6657" width="9.85546875" style="229" customWidth="1"/>
    <col min="6658" max="6658" width="13.85546875" style="229" customWidth="1"/>
    <col min="6659" max="6662" width="9.140625" style="229"/>
    <col min="6663" max="6663" width="75.42578125" style="229" customWidth="1"/>
    <col min="6664" max="6664" width="45.28515625" style="229" customWidth="1"/>
    <col min="6665" max="6907" width="9.140625" style="229"/>
    <col min="6908" max="6908" width="4.42578125" style="229" customWidth="1"/>
    <col min="6909" max="6909" width="11.5703125" style="229" customWidth="1"/>
    <col min="6910" max="6910" width="40.42578125" style="229" customWidth="1"/>
    <col min="6911" max="6911" width="5.5703125" style="229" customWidth="1"/>
    <col min="6912" max="6912" width="8.5703125" style="229" customWidth="1"/>
    <col min="6913" max="6913" width="9.85546875" style="229" customWidth="1"/>
    <col min="6914" max="6914" width="13.85546875" style="229" customWidth="1"/>
    <col min="6915" max="6918" width="9.140625" style="229"/>
    <col min="6919" max="6919" width="75.42578125" style="229" customWidth="1"/>
    <col min="6920" max="6920" width="45.28515625" style="229" customWidth="1"/>
    <col min="6921" max="7163" width="9.140625" style="229"/>
    <col min="7164" max="7164" width="4.42578125" style="229" customWidth="1"/>
    <col min="7165" max="7165" width="11.5703125" style="229" customWidth="1"/>
    <col min="7166" max="7166" width="40.42578125" style="229" customWidth="1"/>
    <col min="7167" max="7167" width="5.5703125" style="229" customWidth="1"/>
    <col min="7168" max="7168" width="8.5703125" style="229" customWidth="1"/>
    <col min="7169" max="7169" width="9.85546875" style="229" customWidth="1"/>
    <col min="7170" max="7170" width="13.85546875" style="229" customWidth="1"/>
    <col min="7171" max="7174" width="9.140625" style="229"/>
    <col min="7175" max="7175" width="75.42578125" style="229" customWidth="1"/>
    <col min="7176" max="7176" width="45.28515625" style="229" customWidth="1"/>
    <col min="7177" max="7419" width="9.140625" style="229"/>
    <col min="7420" max="7420" width="4.42578125" style="229" customWidth="1"/>
    <col min="7421" max="7421" width="11.5703125" style="229" customWidth="1"/>
    <col min="7422" max="7422" width="40.42578125" style="229" customWidth="1"/>
    <col min="7423" max="7423" width="5.5703125" style="229" customWidth="1"/>
    <col min="7424" max="7424" width="8.5703125" style="229" customWidth="1"/>
    <col min="7425" max="7425" width="9.85546875" style="229" customWidth="1"/>
    <col min="7426" max="7426" width="13.85546875" style="229" customWidth="1"/>
    <col min="7427" max="7430" width="9.140625" style="229"/>
    <col min="7431" max="7431" width="75.42578125" style="229" customWidth="1"/>
    <col min="7432" max="7432" width="45.28515625" style="229" customWidth="1"/>
    <col min="7433" max="7675" width="9.140625" style="229"/>
    <col min="7676" max="7676" width="4.42578125" style="229" customWidth="1"/>
    <col min="7677" max="7677" width="11.5703125" style="229" customWidth="1"/>
    <col min="7678" max="7678" width="40.42578125" style="229" customWidth="1"/>
    <col min="7679" max="7679" width="5.5703125" style="229" customWidth="1"/>
    <col min="7680" max="7680" width="8.5703125" style="229" customWidth="1"/>
    <col min="7681" max="7681" width="9.85546875" style="229" customWidth="1"/>
    <col min="7682" max="7682" width="13.85546875" style="229" customWidth="1"/>
    <col min="7683" max="7686" width="9.140625" style="229"/>
    <col min="7687" max="7687" width="75.42578125" style="229" customWidth="1"/>
    <col min="7688" max="7688" width="45.28515625" style="229" customWidth="1"/>
    <col min="7689" max="7931" width="9.140625" style="229"/>
    <col min="7932" max="7932" width="4.42578125" style="229" customWidth="1"/>
    <col min="7933" max="7933" width="11.5703125" style="229" customWidth="1"/>
    <col min="7934" max="7934" width="40.42578125" style="229" customWidth="1"/>
    <col min="7935" max="7935" width="5.5703125" style="229" customWidth="1"/>
    <col min="7936" max="7936" width="8.5703125" style="229" customWidth="1"/>
    <col min="7937" max="7937" width="9.85546875" style="229" customWidth="1"/>
    <col min="7938" max="7938" width="13.85546875" style="229" customWidth="1"/>
    <col min="7939" max="7942" width="9.140625" style="229"/>
    <col min="7943" max="7943" width="75.42578125" style="229" customWidth="1"/>
    <col min="7944" max="7944" width="45.28515625" style="229" customWidth="1"/>
    <col min="7945" max="8187" width="9.140625" style="229"/>
    <col min="8188" max="8188" width="4.42578125" style="229" customWidth="1"/>
    <col min="8189" max="8189" width="11.5703125" style="229" customWidth="1"/>
    <col min="8190" max="8190" width="40.42578125" style="229" customWidth="1"/>
    <col min="8191" max="8191" width="5.5703125" style="229" customWidth="1"/>
    <col min="8192" max="8192" width="8.5703125" style="229" customWidth="1"/>
    <col min="8193" max="8193" width="9.85546875" style="229" customWidth="1"/>
    <col min="8194" max="8194" width="13.85546875" style="229" customWidth="1"/>
    <col min="8195" max="8198" width="9.140625" style="229"/>
    <col min="8199" max="8199" width="75.42578125" style="229" customWidth="1"/>
    <col min="8200" max="8200" width="45.28515625" style="229" customWidth="1"/>
    <col min="8201" max="8443" width="9.140625" style="229"/>
    <col min="8444" max="8444" width="4.42578125" style="229" customWidth="1"/>
    <col min="8445" max="8445" width="11.5703125" style="229" customWidth="1"/>
    <col min="8446" max="8446" width="40.42578125" style="229" customWidth="1"/>
    <col min="8447" max="8447" width="5.5703125" style="229" customWidth="1"/>
    <col min="8448" max="8448" width="8.5703125" style="229" customWidth="1"/>
    <col min="8449" max="8449" width="9.85546875" style="229" customWidth="1"/>
    <col min="8450" max="8450" width="13.85546875" style="229" customWidth="1"/>
    <col min="8451" max="8454" width="9.140625" style="229"/>
    <col min="8455" max="8455" width="75.42578125" style="229" customWidth="1"/>
    <col min="8456" max="8456" width="45.28515625" style="229" customWidth="1"/>
    <col min="8457" max="8699" width="9.140625" style="229"/>
    <col min="8700" max="8700" width="4.42578125" style="229" customWidth="1"/>
    <col min="8701" max="8701" width="11.5703125" style="229" customWidth="1"/>
    <col min="8702" max="8702" width="40.42578125" style="229" customWidth="1"/>
    <col min="8703" max="8703" width="5.5703125" style="229" customWidth="1"/>
    <col min="8704" max="8704" width="8.5703125" style="229" customWidth="1"/>
    <col min="8705" max="8705" width="9.85546875" style="229" customWidth="1"/>
    <col min="8706" max="8706" width="13.85546875" style="229" customWidth="1"/>
    <col min="8707" max="8710" width="9.140625" style="229"/>
    <col min="8711" max="8711" width="75.42578125" style="229" customWidth="1"/>
    <col min="8712" max="8712" width="45.28515625" style="229" customWidth="1"/>
    <col min="8713" max="8955" width="9.140625" style="229"/>
    <col min="8956" max="8956" width="4.42578125" style="229" customWidth="1"/>
    <col min="8957" max="8957" width="11.5703125" style="229" customWidth="1"/>
    <col min="8958" max="8958" width="40.42578125" style="229" customWidth="1"/>
    <col min="8959" max="8959" width="5.5703125" style="229" customWidth="1"/>
    <col min="8960" max="8960" width="8.5703125" style="229" customWidth="1"/>
    <col min="8961" max="8961" width="9.85546875" style="229" customWidth="1"/>
    <col min="8962" max="8962" width="13.85546875" style="229" customWidth="1"/>
    <col min="8963" max="8966" width="9.140625" style="229"/>
    <col min="8967" max="8967" width="75.42578125" style="229" customWidth="1"/>
    <col min="8968" max="8968" width="45.28515625" style="229" customWidth="1"/>
    <col min="8969" max="9211" width="9.140625" style="229"/>
    <col min="9212" max="9212" width="4.42578125" style="229" customWidth="1"/>
    <col min="9213" max="9213" width="11.5703125" style="229" customWidth="1"/>
    <col min="9214" max="9214" width="40.42578125" style="229" customWidth="1"/>
    <col min="9215" max="9215" width="5.5703125" style="229" customWidth="1"/>
    <col min="9216" max="9216" width="8.5703125" style="229" customWidth="1"/>
    <col min="9217" max="9217" width="9.85546875" style="229" customWidth="1"/>
    <col min="9218" max="9218" width="13.85546875" style="229" customWidth="1"/>
    <col min="9219" max="9222" width="9.140625" style="229"/>
    <col min="9223" max="9223" width="75.42578125" style="229" customWidth="1"/>
    <col min="9224" max="9224" width="45.28515625" style="229" customWidth="1"/>
    <col min="9225" max="9467" width="9.140625" style="229"/>
    <col min="9468" max="9468" width="4.42578125" style="229" customWidth="1"/>
    <col min="9469" max="9469" width="11.5703125" style="229" customWidth="1"/>
    <col min="9470" max="9470" width="40.42578125" style="229" customWidth="1"/>
    <col min="9471" max="9471" width="5.5703125" style="229" customWidth="1"/>
    <col min="9472" max="9472" width="8.5703125" style="229" customWidth="1"/>
    <col min="9473" max="9473" width="9.85546875" style="229" customWidth="1"/>
    <col min="9474" max="9474" width="13.85546875" style="229" customWidth="1"/>
    <col min="9475" max="9478" width="9.140625" style="229"/>
    <col min="9479" max="9479" width="75.42578125" style="229" customWidth="1"/>
    <col min="9480" max="9480" width="45.28515625" style="229" customWidth="1"/>
    <col min="9481" max="9723" width="9.140625" style="229"/>
    <col min="9724" max="9724" width="4.42578125" style="229" customWidth="1"/>
    <col min="9725" max="9725" width="11.5703125" style="229" customWidth="1"/>
    <col min="9726" max="9726" width="40.42578125" style="229" customWidth="1"/>
    <col min="9727" max="9727" width="5.5703125" style="229" customWidth="1"/>
    <col min="9728" max="9728" width="8.5703125" style="229" customWidth="1"/>
    <col min="9729" max="9729" width="9.85546875" style="229" customWidth="1"/>
    <col min="9730" max="9730" width="13.85546875" style="229" customWidth="1"/>
    <col min="9731" max="9734" width="9.140625" style="229"/>
    <col min="9735" max="9735" width="75.42578125" style="229" customWidth="1"/>
    <col min="9736" max="9736" width="45.28515625" style="229" customWidth="1"/>
    <col min="9737" max="9979" width="9.140625" style="229"/>
    <col min="9980" max="9980" width="4.42578125" style="229" customWidth="1"/>
    <col min="9981" max="9981" width="11.5703125" style="229" customWidth="1"/>
    <col min="9982" max="9982" width="40.42578125" style="229" customWidth="1"/>
    <col min="9983" max="9983" width="5.5703125" style="229" customWidth="1"/>
    <col min="9984" max="9984" width="8.5703125" style="229" customWidth="1"/>
    <col min="9985" max="9985" width="9.85546875" style="229" customWidth="1"/>
    <col min="9986" max="9986" width="13.85546875" style="229" customWidth="1"/>
    <col min="9987" max="9990" width="9.140625" style="229"/>
    <col min="9991" max="9991" width="75.42578125" style="229" customWidth="1"/>
    <col min="9992" max="9992" width="45.28515625" style="229" customWidth="1"/>
    <col min="9993" max="10235" width="9.140625" style="229"/>
    <col min="10236" max="10236" width="4.42578125" style="229" customWidth="1"/>
    <col min="10237" max="10237" width="11.5703125" style="229" customWidth="1"/>
    <col min="10238" max="10238" width="40.42578125" style="229" customWidth="1"/>
    <col min="10239" max="10239" width="5.5703125" style="229" customWidth="1"/>
    <col min="10240" max="10240" width="8.5703125" style="229" customWidth="1"/>
    <col min="10241" max="10241" width="9.85546875" style="229" customWidth="1"/>
    <col min="10242" max="10242" width="13.85546875" style="229" customWidth="1"/>
    <col min="10243" max="10246" width="9.140625" style="229"/>
    <col min="10247" max="10247" width="75.42578125" style="229" customWidth="1"/>
    <col min="10248" max="10248" width="45.28515625" style="229" customWidth="1"/>
    <col min="10249" max="10491" width="9.140625" style="229"/>
    <col min="10492" max="10492" width="4.42578125" style="229" customWidth="1"/>
    <col min="10493" max="10493" width="11.5703125" style="229" customWidth="1"/>
    <col min="10494" max="10494" width="40.42578125" style="229" customWidth="1"/>
    <col min="10495" max="10495" width="5.5703125" style="229" customWidth="1"/>
    <col min="10496" max="10496" width="8.5703125" style="229" customWidth="1"/>
    <col min="10497" max="10497" width="9.85546875" style="229" customWidth="1"/>
    <col min="10498" max="10498" width="13.85546875" style="229" customWidth="1"/>
    <col min="10499" max="10502" width="9.140625" style="229"/>
    <col min="10503" max="10503" width="75.42578125" style="229" customWidth="1"/>
    <col min="10504" max="10504" width="45.28515625" style="229" customWidth="1"/>
    <col min="10505" max="10747" width="9.140625" style="229"/>
    <col min="10748" max="10748" width="4.42578125" style="229" customWidth="1"/>
    <col min="10749" max="10749" width="11.5703125" style="229" customWidth="1"/>
    <col min="10750" max="10750" width="40.42578125" style="229" customWidth="1"/>
    <col min="10751" max="10751" width="5.5703125" style="229" customWidth="1"/>
    <col min="10752" max="10752" width="8.5703125" style="229" customWidth="1"/>
    <col min="10753" max="10753" width="9.85546875" style="229" customWidth="1"/>
    <col min="10754" max="10754" width="13.85546875" style="229" customWidth="1"/>
    <col min="10755" max="10758" width="9.140625" style="229"/>
    <col min="10759" max="10759" width="75.42578125" style="229" customWidth="1"/>
    <col min="10760" max="10760" width="45.28515625" style="229" customWidth="1"/>
    <col min="10761" max="11003" width="9.140625" style="229"/>
    <col min="11004" max="11004" width="4.42578125" style="229" customWidth="1"/>
    <col min="11005" max="11005" width="11.5703125" style="229" customWidth="1"/>
    <col min="11006" max="11006" width="40.42578125" style="229" customWidth="1"/>
    <col min="11007" max="11007" width="5.5703125" style="229" customWidth="1"/>
    <col min="11008" max="11008" width="8.5703125" style="229" customWidth="1"/>
    <col min="11009" max="11009" width="9.85546875" style="229" customWidth="1"/>
    <col min="11010" max="11010" width="13.85546875" style="229" customWidth="1"/>
    <col min="11011" max="11014" width="9.140625" style="229"/>
    <col min="11015" max="11015" width="75.42578125" style="229" customWidth="1"/>
    <col min="11016" max="11016" width="45.28515625" style="229" customWidth="1"/>
    <col min="11017" max="11259" width="9.140625" style="229"/>
    <col min="11260" max="11260" width="4.42578125" style="229" customWidth="1"/>
    <col min="11261" max="11261" width="11.5703125" style="229" customWidth="1"/>
    <col min="11262" max="11262" width="40.42578125" style="229" customWidth="1"/>
    <col min="11263" max="11263" width="5.5703125" style="229" customWidth="1"/>
    <col min="11264" max="11264" width="8.5703125" style="229" customWidth="1"/>
    <col min="11265" max="11265" width="9.85546875" style="229" customWidth="1"/>
    <col min="11266" max="11266" width="13.85546875" style="229" customWidth="1"/>
    <col min="11267" max="11270" width="9.140625" style="229"/>
    <col min="11271" max="11271" width="75.42578125" style="229" customWidth="1"/>
    <col min="11272" max="11272" width="45.28515625" style="229" customWidth="1"/>
    <col min="11273" max="11515" width="9.140625" style="229"/>
    <col min="11516" max="11516" width="4.42578125" style="229" customWidth="1"/>
    <col min="11517" max="11517" width="11.5703125" style="229" customWidth="1"/>
    <col min="11518" max="11518" width="40.42578125" style="229" customWidth="1"/>
    <col min="11519" max="11519" width="5.5703125" style="229" customWidth="1"/>
    <col min="11520" max="11520" width="8.5703125" style="229" customWidth="1"/>
    <col min="11521" max="11521" width="9.85546875" style="229" customWidth="1"/>
    <col min="11522" max="11522" width="13.85546875" style="229" customWidth="1"/>
    <col min="11523" max="11526" width="9.140625" style="229"/>
    <col min="11527" max="11527" width="75.42578125" style="229" customWidth="1"/>
    <col min="11528" max="11528" width="45.28515625" style="229" customWidth="1"/>
    <col min="11529" max="11771" width="9.140625" style="229"/>
    <col min="11772" max="11772" width="4.42578125" style="229" customWidth="1"/>
    <col min="11773" max="11773" width="11.5703125" style="229" customWidth="1"/>
    <col min="11774" max="11774" width="40.42578125" style="229" customWidth="1"/>
    <col min="11775" max="11775" width="5.5703125" style="229" customWidth="1"/>
    <col min="11776" max="11776" width="8.5703125" style="229" customWidth="1"/>
    <col min="11777" max="11777" width="9.85546875" style="229" customWidth="1"/>
    <col min="11778" max="11778" width="13.85546875" style="229" customWidth="1"/>
    <col min="11779" max="11782" width="9.140625" style="229"/>
    <col min="11783" max="11783" width="75.42578125" style="229" customWidth="1"/>
    <col min="11784" max="11784" width="45.28515625" style="229" customWidth="1"/>
    <col min="11785" max="12027" width="9.140625" style="229"/>
    <col min="12028" max="12028" width="4.42578125" style="229" customWidth="1"/>
    <col min="12029" max="12029" width="11.5703125" style="229" customWidth="1"/>
    <col min="12030" max="12030" width="40.42578125" style="229" customWidth="1"/>
    <col min="12031" max="12031" width="5.5703125" style="229" customWidth="1"/>
    <col min="12032" max="12032" width="8.5703125" style="229" customWidth="1"/>
    <col min="12033" max="12033" width="9.85546875" style="229" customWidth="1"/>
    <col min="12034" max="12034" width="13.85546875" style="229" customWidth="1"/>
    <col min="12035" max="12038" width="9.140625" style="229"/>
    <col min="12039" max="12039" width="75.42578125" style="229" customWidth="1"/>
    <col min="12040" max="12040" width="45.28515625" style="229" customWidth="1"/>
    <col min="12041" max="12283" width="9.140625" style="229"/>
    <col min="12284" max="12284" width="4.42578125" style="229" customWidth="1"/>
    <col min="12285" max="12285" width="11.5703125" style="229" customWidth="1"/>
    <col min="12286" max="12286" width="40.42578125" style="229" customWidth="1"/>
    <col min="12287" max="12287" width="5.5703125" style="229" customWidth="1"/>
    <col min="12288" max="12288" width="8.5703125" style="229" customWidth="1"/>
    <col min="12289" max="12289" width="9.85546875" style="229" customWidth="1"/>
    <col min="12290" max="12290" width="13.85546875" style="229" customWidth="1"/>
    <col min="12291" max="12294" width="9.140625" style="229"/>
    <col min="12295" max="12295" width="75.42578125" style="229" customWidth="1"/>
    <col min="12296" max="12296" width="45.28515625" style="229" customWidth="1"/>
    <col min="12297" max="12539" width="9.140625" style="229"/>
    <col min="12540" max="12540" width="4.42578125" style="229" customWidth="1"/>
    <col min="12541" max="12541" width="11.5703125" style="229" customWidth="1"/>
    <col min="12542" max="12542" width="40.42578125" style="229" customWidth="1"/>
    <col min="12543" max="12543" width="5.5703125" style="229" customWidth="1"/>
    <col min="12544" max="12544" width="8.5703125" style="229" customWidth="1"/>
    <col min="12545" max="12545" width="9.85546875" style="229" customWidth="1"/>
    <col min="12546" max="12546" width="13.85546875" style="229" customWidth="1"/>
    <col min="12547" max="12550" width="9.140625" style="229"/>
    <col min="12551" max="12551" width="75.42578125" style="229" customWidth="1"/>
    <col min="12552" max="12552" width="45.28515625" style="229" customWidth="1"/>
    <col min="12553" max="12795" width="9.140625" style="229"/>
    <col min="12796" max="12796" width="4.42578125" style="229" customWidth="1"/>
    <col min="12797" max="12797" width="11.5703125" style="229" customWidth="1"/>
    <col min="12798" max="12798" width="40.42578125" style="229" customWidth="1"/>
    <col min="12799" max="12799" width="5.5703125" style="229" customWidth="1"/>
    <col min="12800" max="12800" width="8.5703125" style="229" customWidth="1"/>
    <col min="12801" max="12801" width="9.85546875" style="229" customWidth="1"/>
    <col min="12802" max="12802" width="13.85546875" style="229" customWidth="1"/>
    <col min="12803" max="12806" width="9.140625" style="229"/>
    <col min="12807" max="12807" width="75.42578125" style="229" customWidth="1"/>
    <col min="12808" max="12808" width="45.28515625" style="229" customWidth="1"/>
    <col min="12809" max="13051" width="9.140625" style="229"/>
    <col min="13052" max="13052" width="4.42578125" style="229" customWidth="1"/>
    <col min="13053" max="13053" width="11.5703125" style="229" customWidth="1"/>
    <col min="13054" max="13054" width="40.42578125" style="229" customWidth="1"/>
    <col min="13055" max="13055" width="5.5703125" style="229" customWidth="1"/>
    <col min="13056" max="13056" width="8.5703125" style="229" customWidth="1"/>
    <col min="13057" max="13057" width="9.85546875" style="229" customWidth="1"/>
    <col min="13058" max="13058" width="13.85546875" style="229" customWidth="1"/>
    <col min="13059" max="13062" width="9.140625" style="229"/>
    <col min="13063" max="13063" width="75.42578125" style="229" customWidth="1"/>
    <col min="13064" max="13064" width="45.28515625" style="229" customWidth="1"/>
    <col min="13065" max="13307" width="9.140625" style="229"/>
    <col min="13308" max="13308" width="4.42578125" style="229" customWidth="1"/>
    <col min="13309" max="13309" width="11.5703125" style="229" customWidth="1"/>
    <col min="13310" max="13310" width="40.42578125" style="229" customWidth="1"/>
    <col min="13311" max="13311" width="5.5703125" style="229" customWidth="1"/>
    <col min="13312" max="13312" width="8.5703125" style="229" customWidth="1"/>
    <col min="13313" max="13313" width="9.85546875" style="229" customWidth="1"/>
    <col min="13314" max="13314" width="13.85546875" style="229" customWidth="1"/>
    <col min="13315" max="13318" width="9.140625" style="229"/>
    <col min="13319" max="13319" width="75.42578125" style="229" customWidth="1"/>
    <col min="13320" max="13320" width="45.28515625" style="229" customWidth="1"/>
    <col min="13321" max="13563" width="9.140625" style="229"/>
    <col min="13564" max="13564" width="4.42578125" style="229" customWidth="1"/>
    <col min="13565" max="13565" width="11.5703125" style="229" customWidth="1"/>
    <col min="13566" max="13566" width="40.42578125" style="229" customWidth="1"/>
    <col min="13567" max="13567" width="5.5703125" style="229" customWidth="1"/>
    <col min="13568" max="13568" width="8.5703125" style="229" customWidth="1"/>
    <col min="13569" max="13569" width="9.85546875" style="229" customWidth="1"/>
    <col min="13570" max="13570" width="13.85546875" style="229" customWidth="1"/>
    <col min="13571" max="13574" width="9.140625" style="229"/>
    <col min="13575" max="13575" width="75.42578125" style="229" customWidth="1"/>
    <col min="13576" max="13576" width="45.28515625" style="229" customWidth="1"/>
    <col min="13577" max="13819" width="9.140625" style="229"/>
    <col min="13820" max="13820" width="4.42578125" style="229" customWidth="1"/>
    <col min="13821" max="13821" width="11.5703125" style="229" customWidth="1"/>
    <col min="13822" max="13822" width="40.42578125" style="229" customWidth="1"/>
    <col min="13823" max="13823" width="5.5703125" style="229" customWidth="1"/>
    <col min="13824" max="13824" width="8.5703125" style="229" customWidth="1"/>
    <col min="13825" max="13825" width="9.85546875" style="229" customWidth="1"/>
    <col min="13826" max="13826" width="13.85546875" style="229" customWidth="1"/>
    <col min="13827" max="13830" width="9.140625" style="229"/>
    <col min="13831" max="13831" width="75.42578125" style="229" customWidth="1"/>
    <col min="13832" max="13832" width="45.28515625" style="229" customWidth="1"/>
    <col min="13833" max="14075" width="9.140625" style="229"/>
    <col min="14076" max="14076" width="4.42578125" style="229" customWidth="1"/>
    <col min="14077" max="14077" width="11.5703125" style="229" customWidth="1"/>
    <col min="14078" max="14078" width="40.42578125" style="229" customWidth="1"/>
    <col min="14079" max="14079" width="5.5703125" style="229" customWidth="1"/>
    <col min="14080" max="14080" width="8.5703125" style="229" customWidth="1"/>
    <col min="14081" max="14081" width="9.85546875" style="229" customWidth="1"/>
    <col min="14082" max="14082" width="13.85546875" style="229" customWidth="1"/>
    <col min="14083" max="14086" width="9.140625" style="229"/>
    <col min="14087" max="14087" width="75.42578125" style="229" customWidth="1"/>
    <col min="14088" max="14088" width="45.28515625" style="229" customWidth="1"/>
    <col min="14089" max="14331" width="9.140625" style="229"/>
    <col min="14332" max="14332" width="4.42578125" style="229" customWidth="1"/>
    <col min="14333" max="14333" width="11.5703125" style="229" customWidth="1"/>
    <col min="14334" max="14334" width="40.42578125" style="229" customWidth="1"/>
    <col min="14335" max="14335" width="5.5703125" style="229" customWidth="1"/>
    <col min="14336" max="14336" width="8.5703125" style="229" customWidth="1"/>
    <col min="14337" max="14337" width="9.85546875" style="229" customWidth="1"/>
    <col min="14338" max="14338" width="13.85546875" style="229" customWidth="1"/>
    <col min="14339" max="14342" width="9.140625" style="229"/>
    <col min="14343" max="14343" width="75.42578125" style="229" customWidth="1"/>
    <col min="14344" max="14344" width="45.28515625" style="229" customWidth="1"/>
    <col min="14345" max="14587" width="9.140625" style="229"/>
    <col min="14588" max="14588" width="4.42578125" style="229" customWidth="1"/>
    <col min="14589" max="14589" width="11.5703125" style="229" customWidth="1"/>
    <col min="14590" max="14590" width="40.42578125" style="229" customWidth="1"/>
    <col min="14591" max="14591" width="5.5703125" style="229" customWidth="1"/>
    <col min="14592" max="14592" width="8.5703125" style="229" customWidth="1"/>
    <col min="14593" max="14593" width="9.85546875" style="229" customWidth="1"/>
    <col min="14594" max="14594" width="13.85546875" style="229" customWidth="1"/>
    <col min="14595" max="14598" width="9.140625" style="229"/>
    <col min="14599" max="14599" width="75.42578125" style="229" customWidth="1"/>
    <col min="14600" max="14600" width="45.28515625" style="229" customWidth="1"/>
    <col min="14601" max="14843" width="9.140625" style="229"/>
    <col min="14844" max="14844" width="4.42578125" style="229" customWidth="1"/>
    <col min="14845" max="14845" width="11.5703125" style="229" customWidth="1"/>
    <col min="14846" max="14846" width="40.42578125" style="229" customWidth="1"/>
    <col min="14847" max="14847" width="5.5703125" style="229" customWidth="1"/>
    <col min="14848" max="14848" width="8.5703125" style="229" customWidth="1"/>
    <col min="14849" max="14849" width="9.85546875" style="229" customWidth="1"/>
    <col min="14850" max="14850" width="13.85546875" style="229" customWidth="1"/>
    <col min="14851" max="14854" width="9.140625" style="229"/>
    <col min="14855" max="14855" width="75.42578125" style="229" customWidth="1"/>
    <col min="14856" max="14856" width="45.28515625" style="229" customWidth="1"/>
    <col min="14857" max="15099" width="9.140625" style="229"/>
    <col min="15100" max="15100" width="4.42578125" style="229" customWidth="1"/>
    <col min="15101" max="15101" width="11.5703125" style="229" customWidth="1"/>
    <col min="15102" max="15102" width="40.42578125" style="229" customWidth="1"/>
    <col min="15103" max="15103" width="5.5703125" style="229" customWidth="1"/>
    <col min="15104" max="15104" width="8.5703125" style="229" customWidth="1"/>
    <col min="15105" max="15105" width="9.85546875" style="229" customWidth="1"/>
    <col min="15106" max="15106" width="13.85546875" style="229" customWidth="1"/>
    <col min="15107" max="15110" width="9.140625" style="229"/>
    <col min="15111" max="15111" width="75.42578125" style="229" customWidth="1"/>
    <col min="15112" max="15112" width="45.28515625" style="229" customWidth="1"/>
    <col min="15113" max="15355" width="9.140625" style="229"/>
    <col min="15356" max="15356" width="4.42578125" style="229" customWidth="1"/>
    <col min="15357" max="15357" width="11.5703125" style="229" customWidth="1"/>
    <col min="15358" max="15358" width="40.42578125" style="229" customWidth="1"/>
    <col min="15359" max="15359" width="5.5703125" style="229" customWidth="1"/>
    <col min="15360" max="15360" width="8.5703125" style="229" customWidth="1"/>
    <col min="15361" max="15361" width="9.85546875" style="229" customWidth="1"/>
    <col min="15362" max="15362" width="13.85546875" style="229" customWidth="1"/>
    <col min="15363" max="15366" width="9.140625" style="229"/>
    <col min="15367" max="15367" width="75.42578125" style="229" customWidth="1"/>
    <col min="15368" max="15368" width="45.28515625" style="229" customWidth="1"/>
    <col min="15369" max="15611" width="9.140625" style="229"/>
    <col min="15612" max="15612" width="4.42578125" style="229" customWidth="1"/>
    <col min="15613" max="15613" width="11.5703125" style="229" customWidth="1"/>
    <col min="15614" max="15614" width="40.42578125" style="229" customWidth="1"/>
    <col min="15615" max="15615" width="5.5703125" style="229" customWidth="1"/>
    <col min="15616" max="15616" width="8.5703125" style="229" customWidth="1"/>
    <col min="15617" max="15617" width="9.85546875" style="229" customWidth="1"/>
    <col min="15618" max="15618" width="13.85546875" style="229" customWidth="1"/>
    <col min="15619" max="15622" width="9.140625" style="229"/>
    <col min="15623" max="15623" width="75.42578125" style="229" customWidth="1"/>
    <col min="15624" max="15624" width="45.28515625" style="229" customWidth="1"/>
    <col min="15625" max="15867" width="9.140625" style="229"/>
    <col min="15868" max="15868" width="4.42578125" style="229" customWidth="1"/>
    <col min="15869" max="15869" width="11.5703125" style="229" customWidth="1"/>
    <col min="15870" max="15870" width="40.42578125" style="229" customWidth="1"/>
    <col min="15871" max="15871" width="5.5703125" style="229" customWidth="1"/>
    <col min="15872" max="15872" width="8.5703125" style="229" customWidth="1"/>
    <col min="15873" max="15873" width="9.85546875" style="229" customWidth="1"/>
    <col min="15874" max="15874" width="13.85546875" style="229" customWidth="1"/>
    <col min="15875" max="15878" width="9.140625" style="229"/>
    <col min="15879" max="15879" width="75.42578125" style="229" customWidth="1"/>
    <col min="15880" max="15880" width="45.28515625" style="229" customWidth="1"/>
    <col min="15881" max="16123" width="9.140625" style="229"/>
    <col min="16124" max="16124" width="4.42578125" style="229" customWidth="1"/>
    <col min="16125" max="16125" width="11.5703125" style="229" customWidth="1"/>
    <col min="16126" max="16126" width="40.42578125" style="229" customWidth="1"/>
    <col min="16127" max="16127" width="5.5703125" style="229" customWidth="1"/>
    <col min="16128" max="16128" width="8.5703125" style="229" customWidth="1"/>
    <col min="16129" max="16129" width="9.85546875" style="229" customWidth="1"/>
    <col min="16130" max="16130" width="13.85546875" style="229" customWidth="1"/>
    <col min="16131" max="16134" width="9.140625" style="229"/>
    <col min="16135" max="16135" width="75.42578125" style="229" customWidth="1"/>
    <col min="16136" max="16136" width="45.28515625" style="229" customWidth="1"/>
    <col min="16137" max="16384" width="9.140625" style="229"/>
  </cols>
  <sheetData>
    <row r="1" spans="1:99" x14ac:dyDescent="0.2">
      <c r="A1" s="1" t="s">
        <v>275</v>
      </c>
      <c r="B1" s="2"/>
      <c r="C1" s="3"/>
      <c r="D1" s="5" t="s">
        <v>412</v>
      </c>
      <c r="E1" s="440"/>
      <c r="F1" s="441"/>
      <c r="G1" s="442" t="s">
        <v>413</v>
      </c>
    </row>
    <row r="2" spans="1:99" ht="15" x14ac:dyDescent="0.25">
      <c r="A2" s="250" t="s">
        <v>13</v>
      </c>
      <c r="B2" s="13"/>
      <c r="C2" s="14"/>
      <c r="D2" s="16" t="s">
        <v>393</v>
      </c>
      <c r="E2" s="445"/>
      <c r="F2" s="446"/>
      <c r="G2" s="447"/>
    </row>
    <row r="3" spans="1:99" x14ac:dyDescent="0.2">
      <c r="A3" s="251" t="s">
        <v>153</v>
      </c>
      <c r="B3" s="252" t="s">
        <v>154</v>
      </c>
      <c r="C3" s="252" t="s">
        <v>155</v>
      </c>
      <c r="D3" s="252" t="s">
        <v>4</v>
      </c>
      <c r="E3" s="252" t="s">
        <v>156</v>
      </c>
      <c r="F3" s="252" t="s">
        <v>157</v>
      </c>
      <c r="G3" s="253" t="s">
        <v>158</v>
      </c>
    </row>
    <row r="4" spans="1:99" ht="15" x14ac:dyDescent="0.25">
      <c r="A4" s="254"/>
      <c r="B4" s="255"/>
      <c r="C4" s="438" t="s">
        <v>415</v>
      </c>
      <c r="D4" s="256"/>
      <c r="E4" s="448"/>
      <c r="F4" s="256"/>
      <c r="G4" s="256"/>
    </row>
    <row r="5" spans="1:99" x14ac:dyDescent="0.2">
      <c r="A5" s="449" t="s">
        <v>159</v>
      </c>
      <c r="B5" s="450" t="s">
        <v>12</v>
      </c>
      <c r="C5" s="451" t="s">
        <v>105</v>
      </c>
      <c r="D5" s="452"/>
      <c r="E5" s="453"/>
      <c r="F5" s="453"/>
      <c r="G5" s="454"/>
      <c r="J5" s="235">
        <v>1</v>
      </c>
    </row>
    <row r="6" spans="1:99" x14ac:dyDescent="0.2">
      <c r="A6" s="455">
        <v>1</v>
      </c>
      <c r="B6" s="490" t="s">
        <v>969</v>
      </c>
      <c r="C6" s="457" t="s">
        <v>526</v>
      </c>
      <c r="D6" s="458" t="s">
        <v>31</v>
      </c>
      <c r="E6" s="459">
        <v>19.364799999999999</v>
      </c>
      <c r="F6" s="459"/>
      <c r="G6" s="486">
        <f>E6*F6</f>
        <v>0</v>
      </c>
      <c r="J6" s="235">
        <v>2</v>
      </c>
      <c r="V6" s="229">
        <v>1</v>
      </c>
      <c r="W6" s="229">
        <v>1</v>
      </c>
      <c r="X6" s="229">
        <v>1</v>
      </c>
      <c r="AU6" s="229">
        <v>1</v>
      </c>
      <c r="AV6" s="229">
        <f>IF(AU6=1,G6,0)</f>
        <v>0</v>
      </c>
      <c r="AW6" s="229">
        <f>IF(AU6=2,G6,0)</f>
        <v>0</v>
      </c>
      <c r="AX6" s="229">
        <f>IF(AU6=3,G6,0)</f>
        <v>0</v>
      </c>
      <c r="AY6" s="229">
        <f>IF(AU6=4,G6,0)</f>
        <v>0</v>
      </c>
      <c r="AZ6" s="229">
        <f>IF(AU6=5,G6,0)</f>
        <v>0</v>
      </c>
      <c r="BV6" s="235">
        <v>1</v>
      </c>
      <c r="BW6" s="235">
        <v>1</v>
      </c>
      <c r="CU6" s="229">
        <v>0</v>
      </c>
    </row>
    <row r="7" spans="1:99" ht="12.75" customHeight="1" x14ac:dyDescent="0.2">
      <c r="A7" s="460"/>
      <c r="B7" s="487"/>
      <c r="C7" s="522" t="s">
        <v>823</v>
      </c>
      <c r="D7" s="522"/>
      <c r="E7" s="462">
        <v>19.364799999999999</v>
      </c>
      <c r="F7" s="463"/>
      <c r="G7" s="505"/>
      <c r="H7" s="464" t="s">
        <v>527</v>
      </c>
      <c r="J7" s="235"/>
    </row>
    <row r="8" spans="1:99" x14ac:dyDescent="0.2">
      <c r="A8" s="455">
        <v>2</v>
      </c>
      <c r="B8" s="490" t="s">
        <v>528</v>
      </c>
      <c r="C8" s="457" t="s">
        <v>824</v>
      </c>
      <c r="D8" s="458" t="s">
        <v>31</v>
      </c>
      <c r="E8" s="459">
        <v>19.36</v>
      </c>
      <c r="F8" s="459"/>
      <c r="G8" s="486">
        <f>E8*F8</f>
        <v>0</v>
      </c>
      <c r="J8" s="235">
        <v>2</v>
      </c>
      <c r="V8" s="229">
        <v>1</v>
      </c>
      <c r="W8" s="229">
        <v>1</v>
      </c>
      <c r="X8" s="229">
        <v>1</v>
      </c>
      <c r="AU8" s="229">
        <v>1</v>
      </c>
      <c r="AV8" s="229">
        <f>IF(AU8=1,G8,0)</f>
        <v>0</v>
      </c>
      <c r="AW8" s="229">
        <f>IF(AU8=2,G8,0)</f>
        <v>0</v>
      </c>
      <c r="AX8" s="229">
        <f>IF(AU8=3,G8,0)</f>
        <v>0</v>
      </c>
      <c r="AY8" s="229">
        <f>IF(AU8=4,G8,0)</f>
        <v>0</v>
      </c>
      <c r="AZ8" s="229">
        <f>IF(AU8=5,G8,0)</f>
        <v>0</v>
      </c>
      <c r="BV8" s="235">
        <v>1</v>
      </c>
      <c r="BW8" s="235">
        <v>1</v>
      </c>
      <c r="CU8" s="229">
        <v>0</v>
      </c>
    </row>
    <row r="9" spans="1:99" x14ac:dyDescent="0.2">
      <c r="A9" s="455">
        <v>3</v>
      </c>
      <c r="B9" s="490" t="s">
        <v>529</v>
      </c>
      <c r="C9" s="457" t="s">
        <v>530</v>
      </c>
      <c r="D9" s="458" t="s">
        <v>31</v>
      </c>
      <c r="E9" s="459">
        <v>467.6352</v>
      </c>
      <c r="F9" s="459"/>
      <c r="G9" s="486">
        <f>E9*F9</f>
        <v>0</v>
      </c>
      <c r="J9" s="235">
        <v>2</v>
      </c>
      <c r="V9" s="229">
        <v>1</v>
      </c>
      <c r="W9" s="229">
        <v>1</v>
      </c>
      <c r="X9" s="229">
        <v>1</v>
      </c>
      <c r="AU9" s="229">
        <v>1</v>
      </c>
      <c r="AV9" s="229">
        <f>IF(AU9=1,G9,0)</f>
        <v>0</v>
      </c>
      <c r="AW9" s="229">
        <f>IF(AU9=2,G9,0)</f>
        <v>0</v>
      </c>
      <c r="AX9" s="229">
        <f>IF(AU9=3,G9,0)</f>
        <v>0</v>
      </c>
      <c r="AY9" s="229">
        <f>IF(AU9=4,G9,0)</f>
        <v>0</v>
      </c>
      <c r="AZ9" s="229">
        <f>IF(AU9=5,G9,0)</f>
        <v>0</v>
      </c>
      <c r="BV9" s="235">
        <v>1</v>
      </c>
      <c r="BW9" s="235">
        <v>1</v>
      </c>
      <c r="CU9" s="229">
        <v>0</v>
      </c>
    </row>
    <row r="10" spans="1:99" ht="12.75" customHeight="1" x14ac:dyDescent="0.2">
      <c r="A10" s="460"/>
      <c r="B10" s="461"/>
      <c r="C10" s="522" t="s">
        <v>531</v>
      </c>
      <c r="D10" s="522"/>
      <c r="E10" s="462">
        <v>0</v>
      </c>
      <c r="F10" s="463"/>
      <c r="G10" s="505"/>
      <c r="H10" s="464" t="s">
        <v>531</v>
      </c>
      <c r="J10" s="235"/>
    </row>
    <row r="11" spans="1:99" ht="12.75" customHeight="1" x14ac:dyDescent="0.2">
      <c r="A11" s="460"/>
      <c r="B11" s="461"/>
      <c r="C11" s="522" t="s">
        <v>532</v>
      </c>
      <c r="D11" s="522"/>
      <c r="E11" s="462">
        <v>0</v>
      </c>
      <c r="F11" s="463"/>
      <c r="G11" s="505"/>
      <c r="H11" s="464" t="s">
        <v>532</v>
      </c>
      <c r="J11" s="235"/>
    </row>
    <row r="12" spans="1:99" ht="12.75" customHeight="1" x14ac:dyDescent="0.2">
      <c r="A12" s="460"/>
      <c r="B12" s="461"/>
      <c r="C12" s="522" t="s">
        <v>825</v>
      </c>
      <c r="D12" s="522"/>
      <c r="E12" s="462">
        <v>0</v>
      </c>
      <c r="F12" s="463"/>
      <c r="G12" s="505"/>
      <c r="H12" s="464" t="s">
        <v>533</v>
      </c>
      <c r="J12" s="235"/>
    </row>
    <row r="13" spans="1:99" ht="12.75" customHeight="1" x14ac:dyDescent="0.2">
      <c r="A13" s="460"/>
      <c r="B13" s="461"/>
      <c r="C13" s="522" t="s">
        <v>826</v>
      </c>
      <c r="D13" s="522"/>
      <c r="E13" s="462">
        <v>50.24</v>
      </c>
      <c r="F13" s="463"/>
      <c r="G13" s="505"/>
      <c r="H13" s="464" t="s">
        <v>534</v>
      </c>
      <c r="J13" s="235"/>
    </row>
    <row r="14" spans="1:99" ht="12.75" customHeight="1" x14ac:dyDescent="0.2">
      <c r="A14" s="460"/>
      <c r="B14" s="461"/>
      <c r="C14" s="522" t="s">
        <v>827</v>
      </c>
      <c r="D14" s="522"/>
      <c r="E14" s="462">
        <v>54.2408</v>
      </c>
      <c r="F14" s="463"/>
      <c r="G14" s="505"/>
      <c r="H14" s="464" t="s">
        <v>535</v>
      </c>
      <c r="J14" s="235"/>
    </row>
    <row r="15" spans="1:99" ht="12.75" customHeight="1" x14ac:dyDescent="0.2">
      <c r="A15" s="460"/>
      <c r="B15" s="461"/>
      <c r="C15" s="522" t="s">
        <v>828</v>
      </c>
      <c r="D15" s="522"/>
      <c r="E15" s="462">
        <v>28.12</v>
      </c>
      <c r="F15" s="463"/>
      <c r="G15" s="505"/>
      <c r="H15" s="464" t="s">
        <v>536</v>
      </c>
      <c r="J15" s="235"/>
    </row>
    <row r="16" spans="1:99" ht="12.75" customHeight="1" x14ac:dyDescent="0.2">
      <c r="A16" s="460"/>
      <c r="B16" s="461"/>
      <c r="C16" s="522" t="s">
        <v>829</v>
      </c>
      <c r="D16" s="522"/>
      <c r="E16" s="462">
        <v>0</v>
      </c>
      <c r="F16" s="463"/>
      <c r="G16" s="505"/>
      <c r="H16" s="464" t="s">
        <v>537</v>
      </c>
      <c r="J16" s="235"/>
    </row>
    <row r="17" spans="1:10" ht="12.75" customHeight="1" x14ac:dyDescent="0.2">
      <c r="A17" s="460"/>
      <c r="B17" s="461"/>
      <c r="C17" s="522" t="s">
        <v>830</v>
      </c>
      <c r="D17" s="522"/>
      <c r="E17" s="462">
        <v>57.612000000000002</v>
      </c>
      <c r="F17" s="463"/>
      <c r="G17" s="505"/>
      <c r="H17" s="464" t="s">
        <v>538</v>
      </c>
      <c r="J17" s="235"/>
    </row>
    <row r="18" spans="1:10" ht="12.75" customHeight="1" x14ac:dyDescent="0.2">
      <c r="A18" s="460"/>
      <c r="B18" s="461"/>
      <c r="C18" s="522" t="s">
        <v>831</v>
      </c>
      <c r="D18" s="522"/>
      <c r="E18" s="462">
        <v>0</v>
      </c>
      <c r="F18" s="463"/>
      <c r="G18" s="505"/>
      <c r="H18" s="464" t="s">
        <v>539</v>
      </c>
      <c r="J18" s="235"/>
    </row>
    <row r="19" spans="1:10" ht="12.75" customHeight="1" x14ac:dyDescent="0.2">
      <c r="A19" s="460"/>
      <c r="B19" s="461"/>
      <c r="C19" s="522" t="s">
        <v>832</v>
      </c>
      <c r="D19" s="522"/>
      <c r="E19" s="462">
        <v>5.16</v>
      </c>
      <c r="F19" s="463"/>
      <c r="G19" s="505"/>
      <c r="H19" s="464" t="s">
        <v>540</v>
      </c>
      <c r="J19" s="235"/>
    </row>
    <row r="20" spans="1:10" ht="12.75" customHeight="1" x14ac:dyDescent="0.2">
      <c r="A20" s="460"/>
      <c r="B20" s="461"/>
      <c r="C20" s="522" t="s">
        <v>833</v>
      </c>
      <c r="D20" s="522"/>
      <c r="E20" s="462">
        <v>0</v>
      </c>
      <c r="F20" s="463"/>
      <c r="G20" s="505"/>
      <c r="H20" s="464" t="s">
        <v>541</v>
      </c>
      <c r="J20" s="235"/>
    </row>
    <row r="21" spans="1:10" ht="12.75" customHeight="1" x14ac:dyDescent="0.2">
      <c r="A21" s="460"/>
      <c r="B21" s="461"/>
      <c r="C21" s="522" t="s">
        <v>834</v>
      </c>
      <c r="D21" s="522"/>
      <c r="E21" s="462">
        <v>55.733199999999997</v>
      </c>
      <c r="F21" s="463"/>
      <c r="G21" s="505"/>
      <c r="H21" s="464" t="s">
        <v>542</v>
      </c>
      <c r="J21" s="235"/>
    </row>
    <row r="22" spans="1:10" ht="12.75" customHeight="1" x14ac:dyDescent="0.2">
      <c r="A22" s="460"/>
      <c r="B22" s="461"/>
      <c r="C22" s="522" t="s">
        <v>835</v>
      </c>
      <c r="D22" s="522"/>
      <c r="E22" s="462">
        <v>20.88</v>
      </c>
      <c r="F22" s="463"/>
      <c r="G22" s="505"/>
      <c r="H22" s="464" t="s">
        <v>543</v>
      </c>
      <c r="J22" s="235"/>
    </row>
    <row r="23" spans="1:10" ht="12.75" customHeight="1" x14ac:dyDescent="0.2">
      <c r="A23" s="460"/>
      <c r="B23" s="461"/>
      <c r="C23" s="522" t="s">
        <v>836</v>
      </c>
      <c r="D23" s="522"/>
      <c r="E23" s="462">
        <v>0</v>
      </c>
      <c r="F23" s="463"/>
      <c r="G23" s="505"/>
      <c r="H23" s="464" t="s">
        <v>544</v>
      </c>
      <c r="J23" s="235"/>
    </row>
    <row r="24" spans="1:10" ht="12.75" customHeight="1" x14ac:dyDescent="0.2">
      <c r="A24" s="460"/>
      <c r="B24" s="461"/>
      <c r="C24" s="522" t="s">
        <v>837</v>
      </c>
      <c r="D24" s="522"/>
      <c r="E24" s="462">
        <v>6.15</v>
      </c>
      <c r="F24" s="463"/>
      <c r="G24" s="505"/>
      <c r="H24" s="464" t="s">
        <v>545</v>
      </c>
      <c r="J24" s="235"/>
    </row>
    <row r="25" spans="1:10" ht="12.75" customHeight="1" x14ac:dyDescent="0.2">
      <c r="A25" s="460"/>
      <c r="B25" s="461"/>
      <c r="C25" s="522" t="s">
        <v>838</v>
      </c>
      <c r="D25" s="522"/>
      <c r="E25" s="462">
        <v>0</v>
      </c>
      <c r="F25" s="463"/>
      <c r="G25" s="505"/>
      <c r="H25" s="464" t="s">
        <v>546</v>
      </c>
      <c r="J25" s="235"/>
    </row>
    <row r="26" spans="1:10" ht="12.75" customHeight="1" x14ac:dyDescent="0.2">
      <c r="A26" s="460"/>
      <c r="B26" s="461"/>
      <c r="C26" s="522" t="s">
        <v>839</v>
      </c>
      <c r="D26" s="522"/>
      <c r="E26" s="462">
        <v>72.889200000000002</v>
      </c>
      <c r="F26" s="463"/>
      <c r="G26" s="505"/>
      <c r="H26" s="464" t="s">
        <v>547</v>
      </c>
      <c r="J26" s="235"/>
    </row>
    <row r="27" spans="1:10" ht="12.75" customHeight="1" x14ac:dyDescent="0.2">
      <c r="A27" s="460"/>
      <c r="B27" s="461"/>
      <c r="C27" s="522" t="s">
        <v>840</v>
      </c>
      <c r="D27" s="522"/>
      <c r="E27" s="462">
        <v>0</v>
      </c>
      <c r="F27" s="463"/>
      <c r="G27" s="505"/>
      <c r="H27" s="464" t="s">
        <v>548</v>
      </c>
      <c r="J27" s="235"/>
    </row>
    <row r="28" spans="1:10" ht="12.75" customHeight="1" x14ac:dyDescent="0.2">
      <c r="A28" s="460"/>
      <c r="B28" s="461"/>
      <c r="C28" s="522" t="s">
        <v>841</v>
      </c>
      <c r="D28" s="522"/>
      <c r="E28" s="462">
        <v>14.06</v>
      </c>
      <c r="F28" s="463"/>
      <c r="G28" s="505"/>
      <c r="H28" s="464" t="s">
        <v>549</v>
      </c>
      <c r="J28" s="235"/>
    </row>
    <row r="29" spans="1:10" ht="12.75" customHeight="1" x14ac:dyDescent="0.2">
      <c r="A29" s="460"/>
      <c r="B29" s="461"/>
      <c r="C29" s="522" t="s">
        <v>842</v>
      </c>
      <c r="D29" s="522"/>
      <c r="E29" s="462">
        <v>0</v>
      </c>
      <c r="F29" s="463"/>
      <c r="G29" s="505"/>
      <c r="H29" s="464" t="s">
        <v>550</v>
      </c>
      <c r="J29" s="235"/>
    </row>
    <row r="30" spans="1:10" ht="12.75" customHeight="1" x14ac:dyDescent="0.2">
      <c r="A30" s="460"/>
      <c r="B30" s="461"/>
      <c r="C30" s="522" t="s">
        <v>843</v>
      </c>
      <c r="D30" s="522"/>
      <c r="E30" s="462">
        <v>18.762</v>
      </c>
      <c r="F30" s="463"/>
      <c r="G30" s="505"/>
      <c r="H30" s="464" t="s">
        <v>551</v>
      </c>
      <c r="J30" s="235"/>
    </row>
    <row r="31" spans="1:10" ht="12.75" customHeight="1" x14ac:dyDescent="0.2">
      <c r="A31" s="460"/>
      <c r="B31" s="461"/>
      <c r="C31" s="522" t="s">
        <v>844</v>
      </c>
      <c r="D31" s="522"/>
      <c r="E31" s="462">
        <v>0</v>
      </c>
      <c r="F31" s="463"/>
      <c r="G31" s="505"/>
      <c r="H31" s="464" t="s">
        <v>552</v>
      </c>
      <c r="J31" s="235"/>
    </row>
    <row r="32" spans="1:10" ht="12.75" customHeight="1" x14ac:dyDescent="0.2">
      <c r="A32" s="460"/>
      <c r="B32" s="461"/>
      <c r="C32" s="522" t="s">
        <v>845</v>
      </c>
      <c r="D32" s="522"/>
      <c r="E32" s="462">
        <v>0</v>
      </c>
      <c r="F32" s="463"/>
      <c r="G32" s="505"/>
      <c r="H32" s="464" t="s">
        <v>553</v>
      </c>
      <c r="J32" s="235"/>
    </row>
    <row r="33" spans="1:10" ht="12.75" customHeight="1" x14ac:dyDescent="0.2">
      <c r="A33" s="460"/>
      <c r="B33" s="461"/>
      <c r="C33" s="522" t="s">
        <v>846</v>
      </c>
      <c r="D33" s="522"/>
      <c r="E33" s="462">
        <v>1.68</v>
      </c>
      <c r="F33" s="463"/>
      <c r="G33" s="505"/>
      <c r="H33" s="464" t="s">
        <v>554</v>
      </c>
      <c r="J33" s="235"/>
    </row>
    <row r="34" spans="1:10" ht="12.75" customHeight="1" x14ac:dyDescent="0.2">
      <c r="A34" s="460"/>
      <c r="B34" s="461"/>
      <c r="C34" s="522" t="s">
        <v>847</v>
      </c>
      <c r="D34" s="522"/>
      <c r="E34" s="462">
        <v>3.52</v>
      </c>
      <c r="F34" s="463"/>
      <c r="G34" s="505"/>
      <c r="H34" s="464" t="s">
        <v>555</v>
      </c>
      <c r="J34" s="235"/>
    </row>
    <row r="35" spans="1:10" ht="12.75" customHeight="1" x14ac:dyDescent="0.2">
      <c r="A35" s="460"/>
      <c r="B35" s="461"/>
      <c r="C35" s="522" t="s">
        <v>829</v>
      </c>
      <c r="D35" s="522"/>
      <c r="E35" s="462">
        <v>0</v>
      </c>
      <c r="F35" s="463"/>
      <c r="G35" s="505"/>
      <c r="H35" s="464" t="s">
        <v>556</v>
      </c>
      <c r="J35" s="235"/>
    </row>
    <row r="36" spans="1:10" ht="12.75" customHeight="1" x14ac:dyDescent="0.2">
      <c r="A36" s="460"/>
      <c r="B36" s="461"/>
      <c r="C36" s="522" t="s">
        <v>848</v>
      </c>
      <c r="D36" s="522"/>
      <c r="E36" s="462">
        <v>1.68</v>
      </c>
      <c r="F36" s="463"/>
      <c r="G36" s="505"/>
      <c r="H36" s="464" t="s">
        <v>557</v>
      </c>
      <c r="J36" s="235"/>
    </row>
    <row r="37" spans="1:10" ht="12.75" customHeight="1" x14ac:dyDescent="0.2">
      <c r="A37" s="460"/>
      <c r="B37" s="461"/>
      <c r="C37" s="522" t="s">
        <v>849</v>
      </c>
      <c r="D37" s="522"/>
      <c r="E37" s="462">
        <v>1.32</v>
      </c>
      <c r="F37" s="463"/>
      <c r="G37" s="505"/>
      <c r="H37" s="464" t="s">
        <v>558</v>
      </c>
      <c r="J37" s="235"/>
    </row>
    <row r="38" spans="1:10" ht="12.75" customHeight="1" x14ac:dyDescent="0.2">
      <c r="A38" s="460"/>
      <c r="B38" s="461"/>
      <c r="C38" s="522" t="s">
        <v>850</v>
      </c>
      <c r="D38" s="522"/>
      <c r="E38" s="462">
        <v>1.62</v>
      </c>
      <c r="F38" s="463"/>
      <c r="G38" s="505"/>
      <c r="H38" s="464" t="s">
        <v>559</v>
      </c>
      <c r="J38" s="235"/>
    </row>
    <row r="39" spans="1:10" ht="12.75" customHeight="1" x14ac:dyDescent="0.2">
      <c r="A39" s="460"/>
      <c r="B39" s="461"/>
      <c r="C39" s="522" t="s">
        <v>836</v>
      </c>
      <c r="D39" s="522"/>
      <c r="E39" s="462">
        <v>0</v>
      </c>
      <c r="F39" s="463"/>
      <c r="G39" s="505"/>
      <c r="H39" s="464" t="s">
        <v>560</v>
      </c>
      <c r="J39" s="235"/>
    </row>
    <row r="40" spans="1:10" ht="12.75" customHeight="1" x14ac:dyDescent="0.2">
      <c r="A40" s="460"/>
      <c r="B40" s="461"/>
      <c r="C40" s="522" t="s">
        <v>851</v>
      </c>
      <c r="D40" s="522"/>
      <c r="E40" s="462">
        <v>1.92</v>
      </c>
      <c r="F40" s="463"/>
      <c r="G40" s="505"/>
      <c r="H40" s="464" t="s">
        <v>561</v>
      </c>
      <c r="J40" s="235"/>
    </row>
    <row r="41" spans="1:10" ht="12.75" customHeight="1" x14ac:dyDescent="0.2">
      <c r="A41" s="460"/>
      <c r="B41" s="461"/>
      <c r="C41" s="522" t="s">
        <v>852</v>
      </c>
      <c r="D41" s="522"/>
      <c r="E41" s="462">
        <v>1.74</v>
      </c>
      <c r="F41" s="463"/>
      <c r="G41" s="505"/>
      <c r="H41" s="464" t="s">
        <v>562</v>
      </c>
      <c r="J41" s="235"/>
    </row>
    <row r="42" spans="1:10" ht="12.75" customHeight="1" x14ac:dyDescent="0.2">
      <c r="A42" s="460"/>
      <c r="B42" s="461"/>
      <c r="C42" s="522" t="s">
        <v>853</v>
      </c>
      <c r="D42" s="522"/>
      <c r="E42" s="462">
        <v>0.72</v>
      </c>
      <c r="F42" s="463"/>
      <c r="G42" s="505"/>
      <c r="H42" s="464" t="s">
        <v>563</v>
      </c>
      <c r="J42" s="235"/>
    </row>
    <row r="43" spans="1:10" ht="12.75" customHeight="1" x14ac:dyDescent="0.2">
      <c r="A43" s="460"/>
      <c r="B43" s="461"/>
      <c r="C43" s="522" t="s">
        <v>854</v>
      </c>
      <c r="D43" s="522"/>
      <c r="E43" s="462">
        <v>0.96</v>
      </c>
      <c r="F43" s="463"/>
      <c r="G43" s="505"/>
      <c r="H43" s="464" t="s">
        <v>564</v>
      </c>
      <c r="J43" s="235"/>
    </row>
    <row r="44" spans="1:10" ht="12.75" customHeight="1" x14ac:dyDescent="0.2">
      <c r="A44" s="460"/>
      <c r="B44" s="461"/>
      <c r="C44" s="522" t="s">
        <v>838</v>
      </c>
      <c r="D44" s="522"/>
      <c r="E44" s="462">
        <v>0</v>
      </c>
      <c r="F44" s="463"/>
      <c r="G44" s="505"/>
      <c r="H44" s="464" t="s">
        <v>565</v>
      </c>
      <c r="J44" s="235"/>
    </row>
    <row r="45" spans="1:10" ht="12.75" customHeight="1" x14ac:dyDescent="0.2">
      <c r="A45" s="460"/>
      <c r="B45" s="461"/>
      <c r="C45" s="522" t="s">
        <v>855</v>
      </c>
      <c r="D45" s="522"/>
      <c r="E45" s="462">
        <v>1.92</v>
      </c>
      <c r="F45" s="463"/>
      <c r="G45" s="505"/>
      <c r="H45" s="464" t="s">
        <v>566</v>
      </c>
      <c r="J45" s="235"/>
    </row>
    <row r="46" spans="1:10" ht="12.75" customHeight="1" x14ac:dyDescent="0.2">
      <c r="A46" s="460"/>
      <c r="B46" s="461"/>
      <c r="C46" s="522" t="s">
        <v>856</v>
      </c>
      <c r="D46" s="522"/>
      <c r="E46" s="462">
        <v>1.74</v>
      </c>
      <c r="F46" s="463"/>
      <c r="G46" s="505"/>
      <c r="H46" s="464" t="s">
        <v>567</v>
      </c>
      <c r="J46" s="235"/>
    </row>
    <row r="47" spans="1:10" ht="12.75" customHeight="1" x14ac:dyDescent="0.2">
      <c r="A47" s="460"/>
      <c r="B47" s="461"/>
      <c r="C47" s="522" t="s">
        <v>857</v>
      </c>
      <c r="D47" s="522"/>
      <c r="E47" s="462">
        <v>4.4000000000000004</v>
      </c>
      <c r="F47" s="463"/>
      <c r="G47" s="505"/>
      <c r="H47" s="464" t="s">
        <v>568</v>
      </c>
      <c r="J47" s="235"/>
    </row>
    <row r="48" spans="1:10" ht="12.75" customHeight="1" x14ac:dyDescent="0.2">
      <c r="A48" s="460"/>
      <c r="B48" s="461"/>
      <c r="C48" s="522" t="s">
        <v>840</v>
      </c>
      <c r="D48" s="522"/>
      <c r="E48" s="462">
        <v>0</v>
      </c>
      <c r="F48" s="463"/>
      <c r="G48" s="505"/>
      <c r="H48" s="464" t="s">
        <v>569</v>
      </c>
      <c r="J48" s="235"/>
    </row>
    <row r="49" spans="1:10" ht="12.75" customHeight="1" x14ac:dyDescent="0.2">
      <c r="A49" s="460"/>
      <c r="B49" s="461"/>
      <c r="C49" s="522" t="s">
        <v>858</v>
      </c>
      <c r="D49" s="522"/>
      <c r="E49" s="462">
        <v>0.96</v>
      </c>
      <c r="F49" s="463"/>
      <c r="G49" s="505"/>
      <c r="H49" s="464" t="s">
        <v>570</v>
      </c>
      <c r="J49" s="235"/>
    </row>
    <row r="50" spans="1:10" ht="12.75" customHeight="1" x14ac:dyDescent="0.2">
      <c r="A50" s="460"/>
      <c r="B50" s="461"/>
      <c r="C50" s="523" t="s">
        <v>586</v>
      </c>
      <c r="D50" s="523"/>
      <c r="E50" s="488">
        <v>408.02719999999999</v>
      </c>
      <c r="F50" s="463"/>
      <c r="G50" s="505"/>
      <c r="H50" s="464" t="s">
        <v>571</v>
      </c>
      <c r="J50" s="235"/>
    </row>
    <row r="51" spans="1:10" ht="12.75" customHeight="1" x14ac:dyDescent="0.2">
      <c r="A51" s="460"/>
      <c r="B51" s="461"/>
      <c r="C51" s="524" t="s">
        <v>587</v>
      </c>
      <c r="D51" s="524"/>
      <c r="E51" s="489">
        <v>0</v>
      </c>
      <c r="F51" s="463"/>
      <c r="G51" s="505"/>
      <c r="H51" s="464" t="s">
        <v>572</v>
      </c>
      <c r="J51" s="235"/>
    </row>
    <row r="52" spans="1:10" ht="12.75" customHeight="1" x14ac:dyDescent="0.2">
      <c r="A52" s="460"/>
      <c r="B52" s="461"/>
      <c r="C52" s="524" t="s">
        <v>859</v>
      </c>
      <c r="D52" s="524"/>
      <c r="E52" s="489">
        <v>18.399999999999999</v>
      </c>
      <c r="F52" s="463"/>
      <c r="G52" s="505"/>
      <c r="H52" s="464" t="s">
        <v>573</v>
      </c>
      <c r="J52" s="235"/>
    </row>
    <row r="53" spans="1:10" ht="12.75" customHeight="1" x14ac:dyDescent="0.2">
      <c r="A53" s="460"/>
      <c r="B53" s="461"/>
      <c r="C53" s="524" t="s">
        <v>589</v>
      </c>
      <c r="D53" s="524"/>
      <c r="E53" s="489">
        <v>18.399999999999999</v>
      </c>
      <c r="F53" s="463"/>
      <c r="G53" s="505"/>
      <c r="H53" s="464" t="s">
        <v>574</v>
      </c>
      <c r="J53" s="235"/>
    </row>
    <row r="54" spans="1:10" ht="12.75" customHeight="1" x14ac:dyDescent="0.2">
      <c r="A54" s="460"/>
      <c r="B54" s="461"/>
      <c r="C54" s="522" t="s">
        <v>860</v>
      </c>
      <c r="D54" s="522"/>
      <c r="E54" s="462">
        <v>41.4</v>
      </c>
      <c r="F54" s="463"/>
      <c r="G54" s="505"/>
      <c r="H54" s="464" t="s">
        <v>575</v>
      </c>
      <c r="J54" s="235"/>
    </row>
    <row r="55" spans="1:10" ht="12.75" customHeight="1" x14ac:dyDescent="0.2">
      <c r="A55" s="460"/>
      <c r="B55" s="461"/>
      <c r="C55" s="522" t="s">
        <v>861</v>
      </c>
      <c r="D55" s="522"/>
      <c r="E55" s="462">
        <v>10.44</v>
      </c>
      <c r="F55" s="463"/>
      <c r="G55" s="505"/>
      <c r="H55" s="464" t="s">
        <v>576</v>
      </c>
      <c r="J55" s="235"/>
    </row>
    <row r="56" spans="1:10" ht="12.75" customHeight="1" x14ac:dyDescent="0.2">
      <c r="A56" s="460"/>
      <c r="B56" s="461"/>
      <c r="C56" s="523" t="s">
        <v>586</v>
      </c>
      <c r="D56" s="523"/>
      <c r="E56" s="488">
        <v>51.84</v>
      </c>
      <c r="F56" s="463"/>
      <c r="G56" s="505"/>
      <c r="H56" s="464" t="s">
        <v>577</v>
      </c>
      <c r="J56" s="235"/>
    </row>
    <row r="57" spans="1:10" ht="12.75" customHeight="1" x14ac:dyDescent="0.2">
      <c r="A57" s="460"/>
      <c r="B57" s="461"/>
      <c r="C57" s="522" t="s">
        <v>862</v>
      </c>
      <c r="D57" s="522"/>
      <c r="E57" s="462">
        <v>7.7679999999999998</v>
      </c>
      <c r="F57" s="463"/>
      <c r="G57" s="505"/>
      <c r="H57" s="464" t="s">
        <v>578</v>
      </c>
      <c r="J57" s="235"/>
    </row>
    <row r="58" spans="1:10" ht="12.75" customHeight="1" x14ac:dyDescent="0.2">
      <c r="A58" s="455">
        <v>4</v>
      </c>
      <c r="B58" s="456" t="s">
        <v>594</v>
      </c>
      <c r="C58" s="457" t="s">
        <v>595</v>
      </c>
      <c r="D58" s="458" t="s">
        <v>31</v>
      </c>
      <c r="E58" s="459">
        <v>467.64</v>
      </c>
      <c r="F58" s="459"/>
      <c r="G58" s="486">
        <f>E58*F58</f>
        <v>0</v>
      </c>
      <c r="H58" s="464" t="s">
        <v>579</v>
      </c>
      <c r="J58" s="235"/>
    </row>
    <row r="59" spans="1:10" ht="12.75" customHeight="1" x14ac:dyDescent="0.2">
      <c r="A59" s="455"/>
      <c r="B59" s="456"/>
      <c r="C59" s="457"/>
      <c r="D59" s="458"/>
      <c r="E59" s="459"/>
      <c r="F59" s="459"/>
      <c r="G59" s="486"/>
      <c r="H59" s="464"/>
      <c r="J59" s="235"/>
    </row>
    <row r="60" spans="1:10" s="516" customFormat="1" ht="16.5" customHeight="1" x14ac:dyDescent="0.2">
      <c r="A60" s="512">
        <v>5</v>
      </c>
      <c r="B60" s="513" t="s">
        <v>426</v>
      </c>
      <c r="C60" s="514" t="s">
        <v>427</v>
      </c>
      <c r="D60" s="458" t="s">
        <v>23</v>
      </c>
      <c r="E60" s="459">
        <v>989.97900000000004</v>
      </c>
      <c r="F60" s="459"/>
      <c r="G60" s="515">
        <f>E60*F60</f>
        <v>0</v>
      </c>
      <c r="H60" s="464" t="s">
        <v>580</v>
      </c>
      <c r="J60" s="517"/>
    </row>
    <row r="61" spans="1:10" ht="12.75" customHeight="1" x14ac:dyDescent="0.2">
      <c r="A61" s="460"/>
      <c r="B61" s="461"/>
      <c r="C61" s="522" t="s">
        <v>863</v>
      </c>
      <c r="D61" s="522"/>
      <c r="E61" s="462">
        <v>1020.075</v>
      </c>
      <c r="F61" s="463"/>
      <c r="G61" s="505"/>
      <c r="H61" s="464" t="s">
        <v>581</v>
      </c>
      <c r="J61" s="235"/>
    </row>
    <row r="62" spans="1:10" ht="12.75" customHeight="1" x14ac:dyDescent="0.2">
      <c r="A62" s="460"/>
      <c r="B62" s="461"/>
      <c r="C62" s="522" t="s">
        <v>864</v>
      </c>
      <c r="D62" s="522"/>
      <c r="E62" s="462">
        <v>52.8</v>
      </c>
      <c r="F62" s="463"/>
      <c r="G62" s="505"/>
      <c r="H62" s="464" t="s">
        <v>582</v>
      </c>
      <c r="J62" s="235"/>
    </row>
    <row r="63" spans="1:10" ht="12.75" customHeight="1" x14ac:dyDescent="0.2">
      <c r="A63" s="460"/>
      <c r="B63" s="461"/>
      <c r="C63" s="522" t="s">
        <v>865</v>
      </c>
      <c r="D63" s="522"/>
      <c r="E63" s="462">
        <v>-99.6</v>
      </c>
      <c r="F63" s="463"/>
      <c r="G63" s="505"/>
      <c r="H63" s="464" t="s">
        <v>583</v>
      </c>
      <c r="J63" s="235"/>
    </row>
    <row r="64" spans="1:10" ht="12.75" customHeight="1" x14ac:dyDescent="0.2">
      <c r="A64" s="460"/>
      <c r="B64" s="461"/>
      <c r="C64" s="522" t="s">
        <v>866</v>
      </c>
      <c r="D64" s="522"/>
      <c r="E64" s="462">
        <v>16.704000000000001</v>
      </c>
      <c r="F64" s="463"/>
      <c r="G64" s="505"/>
      <c r="H64" s="464" t="s">
        <v>584</v>
      </c>
      <c r="J64" s="235"/>
    </row>
    <row r="65" spans="1:99" ht="12.75" customHeight="1" x14ac:dyDescent="0.2">
      <c r="A65" s="455">
        <v>6</v>
      </c>
      <c r="B65" s="456" t="s">
        <v>430</v>
      </c>
      <c r="C65" s="457" t="s">
        <v>431</v>
      </c>
      <c r="D65" s="458" t="s">
        <v>23</v>
      </c>
      <c r="E65" s="459">
        <v>989.98</v>
      </c>
      <c r="F65" s="459"/>
      <c r="G65" s="486">
        <f>E65*F65</f>
        <v>0</v>
      </c>
      <c r="H65" s="464" t="s">
        <v>585</v>
      </c>
      <c r="J65" s="235"/>
    </row>
    <row r="66" spans="1:99" ht="12.75" customHeight="1" x14ac:dyDescent="0.2">
      <c r="A66" s="455">
        <v>7</v>
      </c>
      <c r="B66" s="456" t="s">
        <v>432</v>
      </c>
      <c r="C66" s="457" t="s">
        <v>433</v>
      </c>
      <c r="D66" s="458" t="s">
        <v>31</v>
      </c>
      <c r="E66" s="459">
        <v>146.1</v>
      </c>
      <c r="F66" s="459"/>
      <c r="G66" s="486">
        <f>E66*F66</f>
        <v>0</v>
      </c>
      <c r="H66" s="464" t="s">
        <v>586</v>
      </c>
      <c r="J66" s="235"/>
    </row>
    <row r="67" spans="1:99" ht="12.75" customHeight="1" x14ac:dyDescent="0.2">
      <c r="A67" s="460"/>
      <c r="B67" s="461"/>
      <c r="C67" s="522" t="s">
        <v>867</v>
      </c>
      <c r="D67" s="522"/>
      <c r="E67" s="462">
        <v>146.1</v>
      </c>
      <c r="F67" s="463"/>
      <c r="G67" s="505"/>
      <c r="H67" s="464" t="s">
        <v>587</v>
      </c>
      <c r="J67" s="235"/>
    </row>
    <row r="68" spans="1:99" ht="12.75" customHeight="1" x14ac:dyDescent="0.2">
      <c r="A68" s="455">
        <v>8</v>
      </c>
      <c r="B68" s="456" t="s">
        <v>435</v>
      </c>
      <c r="C68" s="457" t="s">
        <v>436</v>
      </c>
      <c r="D68" s="458" t="s">
        <v>31</v>
      </c>
      <c r="E68" s="459">
        <f>E69</f>
        <v>278.42</v>
      </c>
      <c r="F68" s="459"/>
      <c r="G68" s="486">
        <f>E68*F68</f>
        <v>0</v>
      </c>
      <c r="H68" s="464" t="s">
        <v>588</v>
      </c>
      <c r="J68" s="235"/>
    </row>
    <row r="69" spans="1:99" ht="12.75" customHeight="1" x14ac:dyDescent="0.2">
      <c r="A69" s="460"/>
      <c r="B69" s="461"/>
      <c r="C69" s="522" t="s">
        <v>868</v>
      </c>
      <c r="D69" s="522"/>
      <c r="E69" s="462">
        <v>278.42</v>
      </c>
      <c r="F69" s="463"/>
      <c r="G69" s="505"/>
      <c r="H69" s="464" t="s">
        <v>589</v>
      </c>
      <c r="J69" s="235"/>
    </row>
    <row r="70" spans="1:99" ht="12.75" customHeight="1" x14ac:dyDescent="0.2">
      <c r="A70" s="455">
        <v>9</v>
      </c>
      <c r="B70" s="456" t="s">
        <v>439</v>
      </c>
      <c r="C70" s="457" t="s">
        <v>440</v>
      </c>
      <c r="D70" s="458" t="s">
        <v>31</v>
      </c>
      <c r="E70" s="459">
        <v>238.58</v>
      </c>
      <c r="F70" s="459"/>
      <c r="G70" s="486">
        <f>E70*F70</f>
        <v>0</v>
      </c>
      <c r="H70" s="464" t="s">
        <v>590</v>
      </c>
      <c r="J70" s="235"/>
    </row>
    <row r="71" spans="1:99" ht="12.75" customHeight="1" x14ac:dyDescent="0.2">
      <c r="A71" s="460"/>
      <c r="B71" s="461"/>
      <c r="C71" s="522" t="s">
        <v>869</v>
      </c>
      <c r="D71" s="522"/>
      <c r="E71" s="462">
        <v>238.58</v>
      </c>
      <c r="F71" s="463"/>
      <c r="G71" s="505"/>
      <c r="H71" s="464" t="s">
        <v>591</v>
      </c>
      <c r="J71" s="235"/>
    </row>
    <row r="72" spans="1:99" ht="12.75" customHeight="1" x14ac:dyDescent="0.2">
      <c r="A72" s="455">
        <v>10</v>
      </c>
      <c r="B72" s="490" t="s">
        <v>442</v>
      </c>
      <c r="C72" s="457" t="s">
        <v>971</v>
      </c>
      <c r="D72" s="458" t="s">
        <v>31</v>
      </c>
      <c r="E72" s="459">
        <f>E73</f>
        <v>1192.9000000000001</v>
      </c>
      <c r="F72" s="459"/>
      <c r="G72" s="486">
        <f>E72*F72</f>
        <v>0</v>
      </c>
      <c r="H72" s="464" t="s">
        <v>592</v>
      </c>
      <c r="J72" s="235"/>
    </row>
    <row r="73" spans="1:99" ht="12.75" customHeight="1" x14ac:dyDescent="0.2">
      <c r="A73" s="460"/>
      <c r="B73" s="461"/>
      <c r="C73" s="522" t="s">
        <v>970</v>
      </c>
      <c r="D73" s="522"/>
      <c r="E73" s="462">
        <f>E70*5</f>
        <v>1192.9000000000001</v>
      </c>
      <c r="F73" s="463"/>
      <c r="G73" s="505"/>
      <c r="H73" s="464" t="s">
        <v>586</v>
      </c>
      <c r="J73" s="235"/>
    </row>
    <row r="74" spans="1:99" ht="12.75" customHeight="1" x14ac:dyDescent="0.2">
      <c r="A74" s="455">
        <v>11</v>
      </c>
      <c r="B74" s="465" t="s">
        <v>444</v>
      </c>
      <c r="C74" s="457" t="s">
        <v>445</v>
      </c>
      <c r="D74" s="458" t="s">
        <v>31</v>
      </c>
      <c r="E74" s="459">
        <f>E75</f>
        <v>278.42</v>
      </c>
      <c r="F74" s="459"/>
      <c r="G74" s="486">
        <f>E74*F74</f>
        <v>0</v>
      </c>
      <c r="H74" s="464" t="s">
        <v>593</v>
      </c>
      <c r="J74" s="235"/>
    </row>
    <row r="75" spans="1:99" x14ac:dyDescent="0.2">
      <c r="A75" s="460"/>
      <c r="B75" s="461"/>
      <c r="C75" s="522" t="s">
        <v>868</v>
      </c>
      <c r="D75" s="522"/>
      <c r="E75" s="462">
        <f>E69</f>
        <v>278.42</v>
      </c>
      <c r="F75" s="463"/>
      <c r="G75" s="505"/>
      <c r="J75" s="235">
        <v>2</v>
      </c>
      <c r="V75" s="229">
        <v>1</v>
      </c>
      <c r="W75" s="229">
        <v>1</v>
      </c>
      <c r="X75" s="229">
        <v>1</v>
      </c>
      <c r="AU75" s="229">
        <v>1</v>
      </c>
      <c r="AV75" s="229">
        <f>IF(AU75=1,G75,0)</f>
        <v>0</v>
      </c>
      <c r="AW75" s="229">
        <f>IF(AU75=2,G75,0)</f>
        <v>0</v>
      </c>
      <c r="AX75" s="229">
        <f>IF(AU75=3,G75,0)</f>
        <v>0</v>
      </c>
      <c r="AY75" s="229">
        <f>IF(AU75=4,G75,0)</f>
        <v>0</v>
      </c>
      <c r="AZ75" s="229">
        <f>IF(AU75=5,G75,0)</f>
        <v>0</v>
      </c>
      <c r="BV75" s="235">
        <v>1</v>
      </c>
      <c r="BW75" s="235">
        <v>1</v>
      </c>
      <c r="CU75" s="229">
        <v>0</v>
      </c>
    </row>
    <row r="76" spans="1:99" x14ac:dyDescent="0.2">
      <c r="A76" s="455">
        <v>12</v>
      </c>
      <c r="B76" s="456" t="s">
        <v>448</v>
      </c>
      <c r="C76" s="457" t="s">
        <v>449</v>
      </c>
      <c r="D76" s="458" t="s">
        <v>31</v>
      </c>
      <c r="E76" s="459">
        <f>E77</f>
        <v>238.58</v>
      </c>
      <c r="F76" s="459"/>
      <c r="G76" s="486">
        <f>E76*F76</f>
        <v>0</v>
      </c>
      <c r="J76" s="235">
        <v>2</v>
      </c>
      <c r="V76" s="229">
        <v>1</v>
      </c>
      <c r="W76" s="229">
        <v>1</v>
      </c>
      <c r="X76" s="229">
        <v>1</v>
      </c>
      <c r="AU76" s="229">
        <v>1</v>
      </c>
      <c r="AV76" s="229">
        <f>IF(AU76=1,G76,0)</f>
        <v>0</v>
      </c>
      <c r="AW76" s="229">
        <f>IF(AU76=2,G76,0)</f>
        <v>0</v>
      </c>
      <c r="AX76" s="229">
        <f>IF(AU76=3,G76,0)</f>
        <v>0</v>
      </c>
      <c r="AY76" s="229">
        <f>IF(AU76=4,G76,0)</f>
        <v>0</v>
      </c>
      <c r="AZ76" s="229">
        <f>IF(AU76=5,G76,0)</f>
        <v>0</v>
      </c>
      <c r="BV76" s="235">
        <v>1</v>
      </c>
      <c r="BW76" s="235">
        <v>1</v>
      </c>
      <c r="CU76" s="229">
        <v>0</v>
      </c>
    </row>
    <row r="77" spans="1:99" x14ac:dyDescent="0.2">
      <c r="A77" s="460"/>
      <c r="B77" s="461"/>
      <c r="C77" s="522" t="s">
        <v>870</v>
      </c>
      <c r="D77" s="522"/>
      <c r="E77" s="462">
        <v>238.58</v>
      </c>
      <c r="F77" s="463"/>
      <c r="G77" s="505"/>
      <c r="J77" s="235">
        <v>2</v>
      </c>
      <c r="V77" s="229">
        <v>1</v>
      </c>
      <c r="W77" s="229">
        <v>1</v>
      </c>
      <c r="X77" s="229">
        <v>1</v>
      </c>
      <c r="AU77" s="229">
        <v>1</v>
      </c>
      <c r="AV77" s="229">
        <f>IF(AU77=1,G77,0)</f>
        <v>0</v>
      </c>
      <c r="AW77" s="229">
        <f>IF(AU77=2,G77,0)</f>
        <v>0</v>
      </c>
      <c r="AX77" s="229">
        <f>IF(AU77=3,G77,0)</f>
        <v>0</v>
      </c>
      <c r="AY77" s="229">
        <f>IF(AU77=4,G77,0)</f>
        <v>0</v>
      </c>
      <c r="AZ77" s="229">
        <f>IF(AU77=5,G77,0)</f>
        <v>0</v>
      </c>
      <c r="BV77" s="235">
        <v>1</v>
      </c>
      <c r="BW77" s="235">
        <v>1</v>
      </c>
      <c r="CU77" s="229">
        <v>9.8999999999999999E-4</v>
      </c>
    </row>
    <row r="78" spans="1:99" ht="12.75" customHeight="1" x14ac:dyDescent="0.2">
      <c r="A78" s="455">
        <v>13</v>
      </c>
      <c r="B78" s="465" t="s">
        <v>452</v>
      </c>
      <c r="C78" s="457" t="s">
        <v>453</v>
      </c>
      <c r="D78" s="458" t="s">
        <v>31</v>
      </c>
      <c r="E78" s="459">
        <f>E77</f>
        <v>238.58</v>
      </c>
      <c r="F78" s="459"/>
      <c r="G78" s="486">
        <f>E78*F78</f>
        <v>0</v>
      </c>
      <c r="H78" s="464" t="s">
        <v>596</v>
      </c>
      <c r="J78" s="235"/>
    </row>
    <row r="79" spans="1:99" ht="12.75" customHeight="1" x14ac:dyDescent="0.2">
      <c r="A79" s="455">
        <v>14</v>
      </c>
      <c r="B79" s="456" t="s">
        <v>455</v>
      </c>
      <c r="C79" s="457" t="s">
        <v>456</v>
      </c>
      <c r="D79" s="458" t="s">
        <v>31</v>
      </c>
      <c r="E79" s="459">
        <v>278.42009999999999</v>
      </c>
      <c r="F79" s="459"/>
      <c r="G79" s="486">
        <f>E79*F79</f>
        <v>0</v>
      </c>
      <c r="H79" s="464" t="s">
        <v>597</v>
      </c>
      <c r="J79" s="235"/>
    </row>
    <row r="80" spans="1:99" x14ac:dyDescent="0.2">
      <c r="A80" s="460"/>
      <c r="B80" s="461"/>
      <c r="C80" s="522" t="s">
        <v>871</v>
      </c>
      <c r="D80" s="522"/>
      <c r="E80" s="462">
        <v>415.8</v>
      </c>
      <c r="F80" s="463"/>
      <c r="G80" s="505"/>
      <c r="J80" s="235">
        <v>2</v>
      </c>
      <c r="V80" s="229">
        <v>1</v>
      </c>
      <c r="W80" s="229">
        <v>1</v>
      </c>
      <c r="X80" s="229">
        <v>1</v>
      </c>
      <c r="AU80" s="229">
        <v>1</v>
      </c>
      <c r="AV80" s="229">
        <f>IF(AU80=1,G80,0)</f>
        <v>0</v>
      </c>
      <c r="AW80" s="229">
        <f>IF(AU80=2,G80,0)</f>
        <v>0</v>
      </c>
      <c r="AX80" s="229">
        <f>IF(AU80=3,G80,0)</f>
        <v>0</v>
      </c>
      <c r="AY80" s="229">
        <f>IF(AU80=4,G80,0)</f>
        <v>0</v>
      </c>
      <c r="AZ80" s="229">
        <f>IF(AU80=5,G80,0)</f>
        <v>0</v>
      </c>
      <c r="BV80" s="235">
        <v>1</v>
      </c>
      <c r="BW80" s="235">
        <v>1</v>
      </c>
      <c r="CU80" s="229">
        <v>8.5999999999999998E-4</v>
      </c>
    </row>
    <row r="81" spans="1:99" ht="12.75" customHeight="1" x14ac:dyDescent="0.2">
      <c r="A81" s="460"/>
      <c r="B81" s="461"/>
      <c r="C81" s="522" t="s">
        <v>872</v>
      </c>
      <c r="D81" s="522"/>
      <c r="E81" s="462">
        <v>-177.59</v>
      </c>
      <c r="F81" s="463"/>
      <c r="G81" s="505"/>
      <c r="H81" s="464" t="s">
        <v>598</v>
      </c>
      <c r="J81" s="235"/>
    </row>
    <row r="82" spans="1:99" x14ac:dyDescent="0.2">
      <c r="A82" s="460"/>
      <c r="B82" s="461"/>
      <c r="C82" s="522" t="s">
        <v>873</v>
      </c>
      <c r="D82" s="522"/>
      <c r="E82" s="462">
        <v>-0.999</v>
      </c>
      <c r="F82" s="463"/>
      <c r="G82" s="505"/>
      <c r="J82" s="235">
        <v>1</v>
      </c>
    </row>
    <row r="83" spans="1:99" x14ac:dyDescent="0.2">
      <c r="A83" s="460"/>
      <c r="B83" s="461"/>
      <c r="C83" s="522" t="s">
        <v>874</v>
      </c>
      <c r="D83" s="522"/>
      <c r="E83" s="462">
        <v>37.789000000000001</v>
      </c>
      <c r="F83" s="463"/>
      <c r="G83" s="505"/>
      <c r="J83" s="235">
        <v>2</v>
      </c>
      <c r="V83" s="229">
        <v>1</v>
      </c>
      <c r="W83" s="229">
        <v>0</v>
      </c>
      <c r="X83" s="229">
        <v>0</v>
      </c>
      <c r="AU83" s="229">
        <v>1</v>
      </c>
      <c r="AV83" s="229">
        <f>IF(AU83=1,G83,0)</f>
        <v>0</v>
      </c>
      <c r="AW83" s="229">
        <f>IF(AU83=2,G83,0)</f>
        <v>0</v>
      </c>
      <c r="AX83" s="229">
        <f>IF(AU83=3,G83,0)</f>
        <v>0</v>
      </c>
      <c r="AY83" s="229">
        <f>IF(AU83=4,G83,0)</f>
        <v>0</v>
      </c>
      <c r="AZ83" s="229">
        <f>IF(AU83=5,G83,0)</f>
        <v>0</v>
      </c>
      <c r="BV83" s="235">
        <v>1</v>
      </c>
      <c r="BW83" s="235">
        <v>0</v>
      </c>
      <c r="CU83" s="229">
        <v>1.1322000000000001</v>
      </c>
    </row>
    <row r="84" spans="1:99" ht="12.75" customHeight="1" x14ac:dyDescent="0.2">
      <c r="A84" s="460"/>
      <c r="B84" s="461"/>
      <c r="C84" s="522" t="s">
        <v>875</v>
      </c>
      <c r="D84" s="522"/>
      <c r="E84" s="462">
        <v>2.2000000000000002</v>
      </c>
      <c r="F84" s="463"/>
      <c r="G84" s="505"/>
      <c r="H84" s="464" t="s">
        <v>606</v>
      </c>
      <c r="J84" s="235"/>
    </row>
    <row r="85" spans="1:99" ht="12.75" customHeight="1" x14ac:dyDescent="0.2">
      <c r="A85" s="460"/>
      <c r="B85" s="461"/>
      <c r="C85" s="522" t="s">
        <v>876</v>
      </c>
      <c r="D85" s="522"/>
      <c r="E85" s="462">
        <v>1.2201</v>
      </c>
      <c r="F85" s="463"/>
      <c r="G85" s="505"/>
      <c r="H85" s="464" t="s">
        <v>607</v>
      </c>
      <c r="J85" s="235"/>
    </row>
    <row r="86" spans="1:99" ht="22.5" x14ac:dyDescent="0.2">
      <c r="A86" s="455">
        <v>15</v>
      </c>
      <c r="B86" s="456" t="s">
        <v>460</v>
      </c>
      <c r="C86" s="457" t="s">
        <v>599</v>
      </c>
      <c r="D86" s="458" t="s">
        <v>31</v>
      </c>
      <c r="E86" s="459">
        <v>138.8355</v>
      </c>
      <c r="F86" s="459"/>
      <c r="G86" s="486">
        <f>E86*F86</f>
        <v>0</v>
      </c>
      <c r="J86" s="235">
        <v>2</v>
      </c>
      <c r="V86" s="229">
        <v>1</v>
      </c>
      <c r="W86" s="229">
        <v>1</v>
      </c>
      <c r="X86" s="229">
        <v>1</v>
      </c>
      <c r="AU86" s="229">
        <v>1</v>
      </c>
      <c r="AV86" s="229">
        <f>IF(AU86=1,G86,0)</f>
        <v>0</v>
      </c>
      <c r="AW86" s="229">
        <f>IF(AU86=2,G86,0)</f>
        <v>0</v>
      </c>
      <c r="AX86" s="229">
        <f>IF(AU86=3,G86,0)</f>
        <v>0</v>
      </c>
      <c r="AY86" s="229">
        <f>IF(AU86=4,G86,0)</f>
        <v>0</v>
      </c>
      <c r="AZ86" s="229">
        <f>IF(AU86=5,G86,0)</f>
        <v>0</v>
      </c>
      <c r="BV86" s="235">
        <v>1</v>
      </c>
      <c r="BW86" s="235">
        <v>1</v>
      </c>
      <c r="CU86" s="229">
        <v>1.8907700000000001</v>
      </c>
    </row>
    <row r="87" spans="1:99" ht="19.5" customHeight="1" x14ac:dyDescent="0.2">
      <c r="A87" s="460"/>
      <c r="B87" s="461"/>
      <c r="C87" s="522" t="s">
        <v>877</v>
      </c>
      <c r="D87" s="522"/>
      <c r="E87" s="462">
        <v>151.52000000000001</v>
      </c>
      <c r="F87" s="463"/>
      <c r="G87" s="505"/>
      <c r="H87" s="464" t="s">
        <v>610</v>
      </c>
      <c r="J87" s="235"/>
    </row>
    <row r="88" spans="1:99" ht="19.5" customHeight="1" x14ac:dyDescent="0.2">
      <c r="A88" s="460"/>
      <c r="B88" s="461"/>
      <c r="C88" s="522" t="s">
        <v>878</v>
      </c>
      <c r="D88" s="522"/>
      <c r="E88" s="462">
        <v>-11.539300000000001</v>
      </c>
      <c r="F88" s="463"/>
      <c r="G88" s="505"/>
      <c r="H88" s="464" t="s">
        <v>611</v>
      </c>
      <c r="J88" s="235"/>
    </row>
    <row r="89" spans="1:99" ht="19.5" customHeight="1" x14ac:dyDescent="0.2">
      <c r="A89" s="460"/>
      <c r="B89" s="461"/>
      <c r="C89" s="522" t="s">
        <v>879</v>
      </c>
      <c r="D89" s="522"/>
      <c r="E89" s="462">
        <v>-1.1452</v>
      </c>
      <c r="F89" s="463"/>
      <c r="G89" s="505"/>
      <c r="H89" s="464" t="s">
        <v>614</v>
      </c>
      <c r="J89" s="235"/>
    </row>
    <row r="90" spans="1:99" ht="19.5" customHeight="1" x14ac:dyDescent="0.2">
      <c r="A90" s="455">
        <v>16</v>
      </c>
      <c r="B90" s="456" t="s">
        <v>600</v>
      </c>
      <c r="C90" s="457" t="s">
        <v>601</v>
      </c>
      <c r="D90" s="458" t="s">
        <v>31</v>
      </c>
      <c r="E90" s="459">
        <v>17.549800000000001</v>
      </c>
      <c r="F90" s="459"/>
      <c r="G90" s="486">
        <f>E90*F90</f>
        <v>0</v>
      </c>
      <c r="H90" s="464" t="s">
        <v>617</v>
      </c>
      <c r="J90" s="235"/>
    </row>
    <row r="91" spans="1:99" x14ac:dyDescent="0.2">
      <c r="A91" s="460"/>
      <c r="B91" s="461"/>
      <c r="C91" s="522" t="s">
        <v>602</v>
      </c>
      <c r="D91" s="522"/>
      <c r="E91" s="462">
        <v>0</v>
      </c>
      <c r="F91" s="463"/>
      <c r="G91" s="505"/>
      <c r="J91" s="235">
        <v>1</v>
      </c>
    </row>
    <row r="92" spans="1:99" x14ac:dyDescent="0.2">
      <c r="A92" s="460"/>
      <c r="B92" s="461"/>
      <c r="C92" s="522" t="s">
        <v>880</v>
      </c>
      <c r="D92" s="522"/>
      <c r="E92" s="462">
        <v>10.992000000000001</v>
      </c>
      <c r="F92" s="463"/>
      <c r="G92" s="505"/>
      <c r="J92" s="235">
        <v>2</v>
      </c>
      <c r="V92" s="229">
        <v>1</v>
      </c>
      <c r="W92" s="229">
        <v>1</v>
      </c>
      <c r="X92" s="229">
        <v>1</v>
      </c>
      <c r="AU92" s="229">
        <v>1</v>
      </c>
      <c r="AV92" s="229">
        <f>IF(AU92=1,G92,0)</f>
        <v>0</v>
      </c>
      <c r="AW92" s="229">
        <f>IF(AU92=2,G92,0)</f>
        <v>0</v>
      </c>
      <c r="AX92" s="229">
        <f>IF(AU92=3,G92,0)</f>
        <v>0</v>
      </c>
      <c r="AY92" s="229">
        <f>IF(AU92=4,G92,0)</f>
        <v>0</v>
      </c>
      <c r="AZ92" s="229">
        <f>IF(AU92=5,G92,0)</f>
        <v>0</v>
      </c>
      <c r="BV92" s="235">
        <v>1</v>
      </c>
      <c r="BW92" s="235">
        <v>1</v>
      </c>
      <c r="CU92" s="229">
        <v>0</v>
      </c>
    </row>
    <row r="93" spans="1:99" ht="12.75" customHeight="1" x14ac:dyDescent="0.2">
      <c r="A93" s="460"/>
      <c r="B93" s="461"/>
      <c r="C93" s="522" t="s">
        <v>881</v>
      </c>
      <c r="D93" s="522"/>
      <c r="E93" s="462">
        <v>6.5578000000000003</v>
      </c>
      <c r="F93" s="463"/>
      <c r="G93" s="505"/>
      <c r="H93" s="464" t="s">
        <v>618</v>
      </c>
      <c r="J93" s="235"/>
    </row>
    <row r="94" spans="1:99" x14ac:dyDescent="0.2">
      <c r="A94" s="455">
        <v>17</v>
      </c>
      <c r="B94" s="456" t="s">
        <v>463</v>
      </c>
      <c r="C94" s="457" t="s">
        <v>464</v>
      </c>
      <c r="D94" s="458" t="s">
        <v>23</v>
      </c>
      <c r="E94" s="459">
        <v>429.65</v>
      </c>
      <c r="F94" s="459"/>
      <c r="G94" s="486">
        <f>E94*F94</f>
        <v>0</v>
      </c>
      <c r="J94" s="235">
        <v>2</v>
      </c>
      <c r="V94" s="229">
        <v>1</v>
      </c>
      <c r="W94" s="229">
        <v>1</v>
      </c>
      <c r="X94" s="229">
        <v>1</v>
      </c>
      <c r="AU94" s="229">
        <v>1</v>
      </c>
      <c r="AV94" s="229">
        <f>IF(AU94=1,G94,0)</f>
        <v>0</v>
      </c>
      <c r="AW94" s="229">
        <f>IF(AU94=2,G94,0)</f>
        <v>0</v>
      </c>
      <c r="AX94" s="229">
        <f>IF(AU94=3,G94,0)</f>
        <v>0</v>
      </c>
      <c r="AY94" s="229">
        <f>IF(AU94=4,G94,0)</f>
        <v>0</v>
      </c>
      <c r="AZ94" s="229">
        <f>IF(AU94=5,G94,0)</f>
        <v>0</v>
      </c>
      <c r="BV94" s="235">
        <v>1</v>
      </c>
      <c r="BW94" s="235">
        <v>1</v>
      </c>
      <c r="CU94" s="229">
        <v>2.0000000000000002E-5</v>
      </c>
    </row>
    <row r="95" spans="1:99" ht="12.75" customHeight="1" x14ac:dyDescent="0.2">
      <c r="A95" s="460"/>
      <c r="B95" s="461"/>
      <c r="C95" s="522" t="s">
        <v>882</v>
      </c>
      <c r="D95" s="522"/>
      <c r="E95" s="462">
        <v>429.65</v>
      </c>
      <c r="F95" s="463"/>
      <c r="G95" s="505"/>
      <c r="H95" s="464" t="s">
        <v>621</v>
      </c>
      <c r="J95" s="235"/>
    </row>
    <row r="96" spans="1:99" ht="12.75" customHeight="1" x14ac:dyDescent="0.2">
      <c r="A96" s="455">
        <v>18</v>
      </c>
      <c r="B96" s="456" t="s">
        <v>466</v>
      </c>
      <c r="C96" s="457" t="s">
        <v>467</v>
      </c>
      <c r="D96" s="458" t="s">
        <v>23</v>
      </c>
      <c r="E96" s="459">
        <v>441.97</v>
      </c>
      <c r="F96" s="459"/>
      <c r="G96" s="486">
        <f>E96*F96</f>
        <v>0</v>
      </c>
      <c r="H96" s="464" t="s">
        <v>622</v>
      </c>
      <c r="J96" s="235"/>
    </row>
    <row r="97" spans="1:10" ht="12.75" customHeight="1" x14ac:dyDescent="0.2">
      <c r="A97" s="460"/>
      <c r="B97" s="461"/>
      <c r="C97" s="522" t="s">
        <v>883</v>
      </c>
      <c r="D97" s="522"/>
      <c r="E97" s="462">
        <v>441.97</v>
      </c>
      <c r="F97" s="463"/>
      <c r="G97" s="505"/>
      <c r="H97" s="464" t="s">
        <v>623</v>
      </c>
      <c r="J97" s="235"/>
    </row>
    <row r="98" spans="1:10" ht="12.75" customHeight="1" x14ac:dyDescent="0.2">
      <c r="A98" s="455">
        <v>19</v>
      </c>
      <c r="B98" s="456" t="s">
        <v>603</v>
      </c>
      <c r="C98" s="457" t="s">
        <v>604</v>
      </c>
      <c r="D98" s="458" t="s">
        <v>605</v>
      </c>
      <c r="E98" s="459">
        <v>32.8185</v>
      </c>
      <c r="F98" s="459"/>
      <c r="G98" s="486">
        <f>E98*F98</f>
        <v>0</v>
      </c>
      <c r="H98" s="464" t="s">
        <v>624</v>
      </c>
      <c r="J98" s="235"/>
    </row>
    <row r="99" spans="1:10" ht="12.75" customHeight="1" x14ac:dyDescent="0.2">
      <c r="A99" s="460"/>
      <c r="B99" s="461"/>
      <c r="C99" s="522" t="s">
        <v>884</v>
      </c>
      <c r="D99" s="522"/>
      <c r="E99" s="462">
        <v>32.8185</v>
      </c>
      <c r="F99" s="463"/>
      <c r="G99" s="505"/>
      <c r="H99" s="464" t="s">
        <v>625</v>
      </c>
      <c r="J99" s="235"/>
    </row>
    <row r="100" spans="1:10" ht="12.75" customHeight="1" x14ac:dyDescent="0.2">
      <c r="A100" s="466"/>
      <c r="B100" s="467" t="s">
        <v>163</v>
      </c>
      <c r="C100" s="468" t="str">
        <f>CONCATENATE(B5," ",C5)</f>
        <v>1 Zemní práce</v>
      </c>
      <c r="D100" s="469"/>
      <c r="E100" s="470"/>
      <c r="F100" s="491"/>
      <c r="G100" s="492">
        <f>SUM(G5:G99)</f>
        <v>0</v>
      </c>
      <c r="H100" s="464" t="s">
        <v>626</v>
      </c>
      <c r="J100" s="235"/>
    </row>
    <row r="101" spans="1:10" ht="12.75" customHeight="1" x14ac:dyDescent="0.2">
      <c r="A101" s="449" t="s">
        <v>159</v>
      </c>
      <c r="B101" s="450" t="s">
        <v>468</v>
      </c>
      <c r="C101" s="451" t="s">
        <v>469</v>
      </c>
      <c r="D101" s="452"/>
      <c r="E101" s="453"/>
      <c r="F101" s="453"/>
      <c r="G101" s="454"/>
      <c r="H101" s="464" t="s">
        <v>630</v>
      </c>
      <c r="J101" s="235"/>
    </row>
    <row r="102" spans="1:10" ht="12.75" customHeight="1" x14ac:dyDescent="0.2">
      <c r="A102" s="455">
        <v>24</v>
      </c>
      <c r="B102" s="456" t="s">
        <v>470</v>
      </c>
      <c r="C102" s="457" t="s">
        <v>471</v>
      </c>
      <c r="D102" s="458" t="s">
        <v>31</v>
      </c>
      <c r="E102" s="459">
        <v>38.648000000000003</v>
      </c>
      <c r="F102" s="459"/>
      <c r="G102" s="486">
        <f>E102*F102</f>
        <v>0</v>
      </c>
      <c r="H102" s="464" t="s">
        <v>631</v>
      </c>
      <c r="J102" s="235"/>
    </row>
    <row r="103" spans="1:10" ht="12.75" customHeight="1" x14ac:dyDescent="0.2">
      <c r="A103" s="460"/>
      <c r="B103" s="461"/>
      <c r="C103" s="522" t="s">
        <v>885</v>
      </c>
      <c r="D103" s="522"/>
      <c r="E103" s="462">
        <v>37.880000000000003</v>
      </c>
      <c r="F103" s="463"/>
      <c r="G103" s="505"/>
      <c r="H103" s="464" t="s">
        <v>632</v>
      </c>
      <c r="J103" s="235"/>
    </row>
    <row r="104" spans="1:10" ht="12.75" customHeight="1" x14ac:dyDescent="0.2">
      <c r="A104" s="460"/>
      <c r="B104" s="461"/>
      <c r="C104" s="522" t="s">
        <v>886</v>
      </c>
      <c r="D104" s="522"/>
      <c r="E104" s="462">
        <v>0.76800000000000002</v>
      </c>
      <c r="F104" s="463"/>
      <c r="G104" s="505"/>
      <c r="H104" s="464" t="s">
        <v>586</v>
      </c>
      <c r="J104" s="235"/>
    </row>
    <row r="105" spans="1:10" ht="12.75" customHeight="1" x14ac:dyDescent="0.2">
      <c r="A105" s="455">
        <v>25</v>
      </c>
      <c r="B105" s="456" t="s">
        <v>608</v>
      </c>
      <c r="C105" s="457" t="s">
        <v>609</v>
      </c>
      <c r="D105" s="458" t="s">
        <v>31</v>
      </c>
      <c r="E105" s="459">
        <v>3.52</v>
      </c>
      <c r="F105" s="459"/>
      <c r="G105" s="486">
        <f>E105*F105</f>
        <v>0</v>
      </c>
      <c r="H105" s="464" t="s">
        <v>633</v>
      </c>
      <c r="J105" s="235"/>
    </row>
    <row r="106" spans="1:10" ht="12.75" customHeight="1" x14ac:dyDescent="0.2">
      <c r="A106" s="460"/>
      <c r="B106" s="461"/>
      <c r="C106" s="522" t="s">
        <v>887</v>
      </c>
      <c r="D106" s="522"/>
      <c r="E106" s="462">
        <v>2.72</v>
      </c>
      <c r="F106" s="463"/>
      <c r="G106" s="505"/>
      <c r="H106" s="464" t="s">
        <v>634</v>
      </c>
      <c r="J106" s="235"/>
    </row>
    <row r="107" spans="1:10" ht="12.75" customHeight="1" x14ac:dyDescent="0.2">
      <c r="A107" s="460"/>
      <c r="B107" s="461"/>
      <c r="C107" s="522" t="s">
        <v>888</v>
      </c>
      <c r="D107" s="522"/>
      <c r="E107" s="462">
        <v>0.8</v>
      </c>
      <c r="F107" s="463"/>
      <c r="G107" s="505"/>
      <c r="H107" s="464" t="s">
        <v>635</v>
      </c>
      <c r="J107" s="235"/>
    </row>
    <row r="108" spans="1:10" ht="12.75" customHeight="1" x14ac:dyDescent="0.2">
      <c r="A108" s="455">
        <v>26</v>
      </c>
      <c r="B108" s="456" t="s">
        <v>612</v>
      </c>
      <c r="C108" s="457" t="s">
        <v>613</v>
      </c>
      <c r="D108" s="458" t="s">
        <v>31</v>
      </c>
      <c r="E108" s="459">
        <v>1.512</v>
      </c>
      <c r="F108" s="459"/>
      <c r="G108" s="486">
        <f>E108*F108</f>
        <v>0</v>
      </c>
      <c r="H108" s="464" t="s">
        <v>636</v>
      </c>
      <c r="J108" s="235"/>
    </row>
    <row r="109" spans="1:10" ht="12.75" customHeight="1" x14ac:dyDescent="0.2">
      <c r="A109" s="460"/>
      <c r="B109" s="461"/>
      <c r="C109" s="522" t="s">
        <v>889</v>
      </c>
      <c r="D109" s="522"/>
      <c r="E109" s="462">
        <v>1.512</v>
      </c>
      <c r="F109" s="463"/>
      <c r="G109" s="505"/>
      <c r="H109" s="464" t="s">
        <v>637</v>
      </c>
      <c r="J109" s="235"/>
    </row>
    <row r="110" spans="1:10" ht="12.75" customHeight="1" x14ac:dyDescent="0.2">
      <c r="A110" s="460"/>
      <c r="B110" s="461"/>
      <c r="C110" s="518"/>
      <c r="D110" s="518"/>
      <c r="E110" s="519"/>
      <c r="F110" s="463"/>
      <c r="G110" s="505"/>
      <c r="H110" s="464"/>
      <c r="J110" s="235"/>
    </row>
    <row r="111" spans="1:10" s="516" customFormat="1" ht="17.25" customHeight="1" x14ac:dyDescent="0.2">
      <c r="A111" s="512">
        <v>27</v>
      </c>
      <c r="B111" s="513" t="s">
        <v>615</v>
      </c>
      <c r="C111" s="514" t="s">
        <v>616</v>
      </c>
      <c r="D111" s="458" t="s">
        <v>23</v>
      </c>
      <c r="E111" s="459">
        <v>1.56</v>
      </c>
      <c r="F111" s="459"/>
      <c r="G111" s="515">
        <f>E111*F111</f>
        <v>0</v>
      </c>
      <c r="H111" s="464" t="s">
        <v>638</v>
      </c>
      <c r="J111" s="517"/>
    </row>
    <row r="112" spans="1:10" ht="12.75" customHeight="1" x14ac:dyDescent="0.2">
      <c r="A112" s="460"/>
      <c r="B112" s="461"/>
      <c r="C112" s="522" t="s">
        <v>890</v>
      </c>
      <c r="D112" s="522"/>
      <c r="E112" s="462">
        <v>1.56</v>
      </c>
      <c r="F112" s="463"/>
      <c r="G112" s="505"/>
      <c r="H112" s="464" t="s">
        <v>639</v>
      </c>
      <c r="J112" s="235"/>
    </row>
    <row r="113" spans="1:99" ht="12.75" customHeight="1" x14ac:dyDescent="0.2">
      <c r="A113" s="466"/>
      <c r="B113" s="467" t="s">
        <v>163</v>
      </c>
      <c r="C113" s="468" t="str">
        <f>CONCATENATE(B101," ",C101)</f>
        <v>45 Podkladní a vedlejší konstrukce</v>
      </c>
      <c r="D113" s="469"/>
      <c r="E113" s="470"/>
      <c r="F113" s="491"/>
      <c r="G113" s="492">
        <f>SUM(G101:G112)</f>
        <v>0</v>
      </c>
      <c r="H113" s="464" t="s">
        <v>640</v>
      </c>
      <c r="J113" s="235"/>
    </row>
    <row r="114" spans="1:99" ht="12.75" customHeight="1" x14ac:dyDescent="0.2">
      <c r="A114" s="449" t="s">
        <v>159</v>
      </c>
      <c r="B114" s="450" t="s">
        <v>474</v>
      </c>
      <c r="C114" s="451" t="s">
        <v>475</v>
      </c>
      <c r="D114" s="452"/>
      <c r="E114" s="453"/>
      <c r="F114" s="453"/>
      <c r="G114" s="454"/>
      <c r="H114" s="464" t="s">
        <v>641</v>
      </c>
      <c r="J114" s="235"/>
    </row>
    <row r="115" spans="1:99" ht="12.75" customHeight="1" x14ac:dyDescent="0.2">
      <c r="A115" s="455">
        <v>28</v>
      </c>
      <c r="B115" s="456" t="s">
        <v>619</v>
      </c>
      <c r="C115" s="457" t="s">
        <v>620</v>
      </c>
      <c r="D115" s="458" t="s">
        <v>25</v>
      </c>
      <c r="E115" s="459">
        <v>45.1</v>
      </c>
      <c r="F115" s="459"/>
      <c r="G115" s="486">
        <f>E115*F115</f>
        <v>0</v>
      </c>
      <c r="H115" s="464" t="s">
        <v>586</v>
      </c>
      <c r="J115" s="235"/>
    </row>
    <row r="116" spans="1:99" x14ac:dyDescent="0.2">
      <c r="A116" s="460"/>
      <c r="B116" s="461"/>
      <c r="C116" s="522" t="s">
        <v>891</v>
      </c>
      <c r="D116" s="522"/>
      <c r="E116" s="462">
        <v>8.1</v>
      </c>
      <c r="F116" s="463"/>
      <c r="G116" s="505"/>
      <c r="J116" s="235">
        <v>2</v>
      </c>
      <c r="V116" s="229">
        <v>1</v>
      </c>
      <c r="W116" s="229">
        <v>1</v>
      </c>
      <c r="X116" s="229">
        <v>1</v>
      </c>
      <c r="AU116" s="229">
        <v>1</v>
      </c>
      <c r="AV116" s="229">
        <f>IF(AU116=1,G116,0)</f>
        <v>0</v>
      </c>
      <c r="AW116" s="229">
        <f>IF(AU116=2,G116,0)</f>
        <v>0</v>
      </c>
      <c r="AX116" s="229">
        <f>IF(AU116=3,G116,0)</f>
        <v>0</v>
      </c>
      <c r="AY116" s="229">
        <f>IF(AU116=4,G116,0)</f>
        <v>0</v>
      </c>
      <c r="AZ116" s="229">
        <f>IF(AU116=5,G116,0)</f>
        <v>0</v>
      </c>
      <c r="BV116" s="235">
        <v>1</v>
      </c>
      <c r="BW116" s="235">
        <v>1</v>
      </c>
      <c r="CU116" s="229">
        <v>1.1E-4</v>
      </c>
    </row>
    <row r="117" spans="1:99" ht="12.75" customHeight="1" x14ac:dyDescent="0.2">
      <c r="A117" s="460"/>
      <c r="B117" s="461"/>
      <c r="C117" s="522" t="s">
        <v>623</v>
      </c>
      <c r="D117" s="522"/>
      <c r="E117" s="462">
        <v>0</v>
      </c>
      <c r="F117" s="463"/>
      <c r="G117" s="505"/>
      <c r="H117" s="464" t="s">
        <v>644</v>
      </c>
      <c r="J117" s="235"/>
    </row>
    <row r="118" spans="1:99" ht="12.75" customHeight="1" x14ac:dyDescent="0.2">
      <c r="A118" s="460"/>
      <c r="B118" s="461"/>
      <c r="C118" s="522" t="s">
        <v>892</v>
      </c>
      <c r="D118" s="522"/>
      <c r="E118" s="462">
        <v>1.5</v>
      </c>
      <c r="F118" s="463"/>
      <c r="G118" s="505"/>
      <c r="H118" s="464" t="s">
        <v>645</v>
      </c>
      <c r="J118" s="235"/>
    </row>
    <row r="119" spans="1:99" ht="12.75" customHeight="1" x14ac:dyDescent="0.2">
      <c r="A119" s="460"/>
      <c r="B119" s="461"/>
      <c r="C119" s="522" t="s">
        <v>893</v>
      </c>
      <c r="D119" s="522"/>
      <c r="E119" s="462">
        <v>1</v>
      </c>
      <c r="F119" s="463"/>
      <c r="G119" s="505"/>
      <c r="H119" s="464" t="s">
        <v>646</v>
      </c>
      <c r="J119" s="235"/>
    </row>
    <row r="120" spans="1:99" ht="12.75" customHeight="1" x14ac:dyDescent="0.2">
      <c r="A120" s="460"/>
      <c r="B120" s="461"/>
      <c r="C120" s="522" t="s">
        <v>894</v>
      </c>
      <c r="D120" s="522"/>
      <c r="E120" s="462">
        <v>6</v>
      </c>
      <c r="F120" s="463"/>
      <c r="G120" s="505"/>
      <c r="H120" s="464" t="s">
        <v>647</v>
      </c>
      <c r="J120" s="235"/>
    </row>
    <row r="121" spans="1:99" x14ac:dyDescent="0.2">
      <c r="A121" s="460"/>
      <c r="B121" s="461"/>
      <c r="C121" s="522" t="s">
        <v>895</v>
      </c>
      <c r="D121" s="522"/>
      <c r="E121" s="462">
        <v>16.5</v>
      </c>
      <c r="F121" s="463"/>
      <c r="G121" s="505"/>
      <c r="J121" s="235">
        <v>2</v>
      </c>
      <c r="V121" s="229">
        <v>1</v>
      </c>
      <c r="W121" s="229">
        <v>1</v>
      </c>
      <c r="X121" s="229">
        <v>1</v>
      </c>
      <c r="AU121" s="229">
        <v>1</v>
      </c>
      <c r="AV121" s="229">
        <f>IF(AU121=1,G121,0)</f>
        <v>0</v>
      </c>
      <c r="AW121" s="229">
        <f>IF(AU121=2,G121,0)</f>
        <v>0</v>
      </c>
      <c r="AX121" s="229">
        <f>IF(AU121=3,G121,0)</f>
        <v>0</v>
      </c>
      <c r="AY121" s="229">
        <f>IF(AU121=4,G121,0)</f>
        <v>0</v>
      </c>
      <c r="AZ121" s="229">
        <f>IF(AU121=5,G121,0)</f>
        <v>0</v>
      </c>
      <c r="BV121" s="235">
        <v>1</v>
      </c>
      <c r="BW121" s="235">
        <v>1</v>
      </c>
      <c r="CU121" s="229">
        <v>1.6000000000000001E-4</v>
      </c>
    </row>
    <row r="122" spans="1:99" ht="12.75" customHeight="1" x14ac:dyDescent="0.2">
      <c r="A122" s="460"/>
      <c r="B122" s="461"/>
      <c r="C122" s="522" t="s">
        <v>896</v>
      </c>
      <c r="D122" s="522"/>
      <c r="E122" s="462">
        <v>8</v>
      </c>
      <c r="F122" s="463"/>
      <c r="G122" s="505"/>
      <c r="H122" s="464" t="s">
        <v>650</v>
      </c>
      <c r="J122" s="235"/>
    </row>
    <row r="123" spans="1:99" ht="12.75" customHeight="1" x14ac:dyDescent="0.2">
      <c r="A123" s="460"/>
      <c r="B123" s="461"/>
      <c r="C123" s="522" t="s">
        <v>897</v>
      </c>
      <c r="D123" s="522"/>
      <c r="E123" s="462">
        <v>4</v>
      </c>
      <c r="F123" s="463"/>
      <c r="G123" s="505"/>
      <c r="H123" s="464" t="s">
        <v>651</v>
      </c>
      <c r="J123" s="235"/>
    </row>
    <row r="124" spans="1:99" ht="12.75" customHeight="1" x14ac:dyDescent="0.2">
      <c r="A124" s="455">
        <v>29</v>
      </c>
      <c r="B124" s="456" t="s">
        <v>627</v>
      </c>
      <c r="C124" s="457" t="s">
        <v>628</v>
      </c>
      <c r="D124" s="458" t="s">
        <v>25</v>
      </c>
      <c r="E124" s="459">
        <v>195.4</v>
      </c>
      <c r="F124" s="459"/>
      <c r="G124" s="486">
        <f>E124*F124</f>
        <v>0</v>
      </c>
      <c r="H124" s="464" t="s">
        <v>652</v>
      </c>
      <c r="J124" s="235"/>
    </row>
    <row r="125" spans="1:99" x14ac:dyDescent="0.2">
      <c r="A125" s="460"/>
      <c r="B125" s="461"/>
      <c r="C125" s="522" t="s">
        <v>629</v>
      </c>
      <c r="D125" s="522"/>
      <c r="E125" s="462">
        <v>0</v>
      </c>
      <c r="F125" s="463"/>
      <c r="G125" s="505"/>
      <c r="J125" s="235">
        <v>2</v>
      </c>
      <c r="V125" s="229">
        <v>1</v>
      </c>
      <c r="W125" s="229">
        <v>1</v>
      </c>
      <c r="X125" s="229">
        <v>1</v>
      </c>
      <c r="AU125" s="229">
        <v>1</v>
      </c>
      <c r="AV125" s="229">
        <f>IF(AU125=1,G125,0)</f>
        <v>0</v>
      </c>
      <c r="AW125" s="229">
        <f>IF(AU125=2,G125,0)</f>
        <v>0</v>
      </c>
      <c r="AX125" s="229">
        <f>IF(AU125=3,G125,0)</f>
        <v>0</v>
      </c>
      <c r="AY125" s="229">
        <f>IF(AU125=4,G125,0)</f>
        <v>0</v>
      </c>
      <c r="AZ125" s="229">
        <f>IF(AU125=5,G125,0)</f>
        <v>0</v>
      </c>
      <c r="BV125" s="235">
        <v>1</v>
      </c>
      <c r="BW125" s="235">
        <v>1</v>
      </c>
      <c r="CU125" s="229">
        <v>1.0000000000000001E-5</v>
      </c>
    </row>
    <row r="126" spans="1:99" ht="12.75" customHeight="1" x14ac:dyDescent="0.2">
      <c r="A126" s="460"/>
      <c r="B126" s="461"/>
      <c r="C126" s="522" t="s">
        <v>898</v>
      </c>
      <c r="D126" s="522"/>
      <c r="E126" s="462">
        <v>20.100000000000001</v>
      </c>
      <c r="F126" s="463"/>
      <c r="G126" s="505"/>
      <c r="H126" s="464" t="s">
        <v>655</v>
      </c>
      <c r="J126" s="235"/>
    </row>
    <row r="127" spans="1:99" ht="12.75" customHeight="1" x14ac:dyDescent="0.2">
      <c r="A127" s="460"/>
      <c r="B127" s="461"/>
      <c r="C127" s="522" t="s">
        <v>899</v>
      </c>
      <c r="D127" s="522"/>
      <c r="E127" s="462">
        <v>7</v>
      </c>
      <c r="F127" s="463"/>
      <c r="G127" s="505"/>
      <c r="H127" s="464" t="s">
        <v>656</v>
      </c>
      <c r="J127" s="235"/>
    </row>
    <row r="128" spans="1:99" ht="12.75" customHeight="1" x14ac:dyDescent="0.2">
      <c r="A128" s="460"/>
      <c r="B128" s="461"/>
      <c r="C128" s="522" t="s">
        <v>900</v>
      </c>
      <c r="D128" s="522"/>
      <c r="E128" s="462">
        <v>15.3</v>
      </c>
      <c r="F128" s="463"/>
      <c r="G128" s="505"/>
      <c r="H128" s="464" t="s">
        <v>657</v>
      </c>
      <c r="J128" s="235"/>
    </row>
    <row r="129" spans="1:10" ht="12.75" customHeight="1" x14ac:dyDescent="0.2">
      <c r="A129" s="460"/>
      <c r="B129" s="461"/>
      <c r="C129" s="522" t="s">
        <v>901</v>
      </c>
      <c r="D129" s="522"/>
      <c r="E129" s="462">
        <v>19.600000000000001</v>
      </c>
      <c r="F129" s="463"/>
      <c r="G129" s="505"/>
      <c r="H129" s="464" t="s">
        <v>658</v>
      </c>
      <c r="J129" s="235"/>
    </row>
    <row r="130" spans="1:10" ht="12.75" customHeight="1" x14ac:dyDescent="0.2">
      <c r="A130" s="460"/>
      <c r="B130" s="461"/>
      <c r="C130" s="523" t="s">
        <v>586</v>
      </c>
      <c r="D130" s="523"/>
      <c r="E130" s="488">
        <v>62.000000000000007</v>
      </c>
      <c r="F130" s="463"/>
      <c r="G130" s="505"/>
      <c r="H130" s="464" t="s">
        <v>659</v>
      </c>
      <c r="J130" s="235"/>
    </row>
    <row r="131" spans="1:10" ht="12.75" customHeight="1" x14ac:dyDescent="0.2">
      <c r="A131" s="460"/>
      <c r="B131" s="461"/>
      <c r="C131" s="522" t="s">
        <v>633</v>
      </c>
      <c r="D131" s="522"/>
      <c r="E131" s="462">
        <v>0</v>
      </c>
      <c r="F131" s="463"/>
      <c r="G131" s="505"/>
      <c r="H131" s="464" t="s">
        <v>660</v>
      </c>
      <c r="J131" s="235"/>
    </row>
    <row r="132" spans="1:10" ht="12.75" customHeight="1" x14ac:dyDescent="0.2">
      <c r="A132" s="460"/>
      <c r="B132" s="461"/>
      <c r="C132" s="522" t="s">
        <v>902</v>
      </c>
      <c r="D132" s="522"/>
      <c r="E132" s="462">
        <v>13.6</v>
      </c>
      <c r="F132" s="463"/>
      <c r="G132" s="505"/>
      <c r="H132" s="464" t="s">
        <v>586</v>
      </c>
      <c r="J132" s="235"/>
    </row>
    <row r="133" spans="1:10" ht="12.75" customHeight="1" x14ac:dyDescent="0.2">
      <c r="A133" s="460"/>
      <c r="B133" s="461"/>
      <c r="C133" s="522" t="s">
        <v>903</v>
      </c>
      <c r="D133" s="522"/>
      <c r="E133" s="462">
        <v>50.7</v>
      </c>
      <c r="F133" s="463"/>
      <c r="G133" s="505"/>
      <c r="H133" s="464" t="s">
        <v>629</v>
      </c>
      <c r="J133" s="235"/>
    </row>
    <row r="134" spans="1:10" ht="12.75" customHeight="1" x14ac:dyDescent="0.2">
      <c r="A134" s="460"/>
      <c r="B134" s="461"/>
      <c r="C134" s="522" t="s">
        <v>904</v>
      </c>
      <c r="D134" s="522"/>
      <c r="E134" s="462">
        <v>29.8</v>
      </c>
      <c r="F134" s="463"/>
      <c r="G134" s="505"/>
      <c r="H134" s="464" t="s">
        <v>661</v>
      </c>
      <c r="J134" s="235"/>
    </row>
    <row r="135" spans="1:10" ht="12.75" customHeight="1" x14ac:dyDescent="0.2">
      <c r="A135" s="460"/>
      <c r="B135" s="461"/>
      <c r="C135" s="522" t="s">
        <v>905</v>
      </c>
      <c r="D135" s="522"/>
      <c r="E135" s="462">
        <v>29.8</v>
      </c>
      <c r="F135" s="463"/>
      <c r="G135" s="505"/>
      <c r="H135" s="464" t="s">
        <v>662</v>
      </c>
      <c r="J135" s="235"/>
    </row>
    <row r="136" spans="1:10" ht="12.75" customHeight="1" x14ac:dyDescent="0.2">
      <c r="A136" s="460"/>
      <c r="B136" s="461"/>
      <c r="C136" s="522" t="s">
        <v>906</v>
      </c>
      <c r="D136" s="522"/>
      <c r="E136" s="462">
        <v>3.1</v>
      </c>
      <c r="F136" s="463"/>
      <c r="G136" s="505"/>
      <c r="H136" s="464" t="s">
        <v>663</v>
      </c>
      <c r="J136" s="235"/>
    </row>
    <row r="137" spans="1:10" ht="12.75" customHeight="1" x14ac:dyDescent="0.2">
      <c r="A137" s="460"/>
      <c r="B137" s="461"/>
      <c r="C137" s="522" t="s">
        <v>907</v>
      </c>
      <c r="D137" s="522"/>
      <c r="E137" s="462">
        <v>6.4</v>
      </c>
      <c r="F137" s="463"/>
      <c r="G137" s="505"/>
      <c r="H137" s="464" t="s">
        <v>664</v>
      </c>
      <c r="J137" s="235"/>
    </row>
    <row r="138" spans="1:10" ht="12.75" customHeight="1" x14ac:dyDescent="0.2">
      <c r="A138" s="460"/>
      <c r="B138" s="461"/>
      <c r="C138" s="523" t="s">
        <v>586</v>
      </c>
      <c r="D138" s="523"/>
      <c r="E138" s="488">
        <v>133.39999999999998</v>
      </c>
      <c r="F138" s="463"/>
      <c r="G138" s="505"/>
      <c r="H138" s="464" t="s">
        <v>586</v>
      </c>
      <c r="J138" s="235"/>
    </row>
    <row r="139" spans="1:10" ht="12.75" customHeight="1" x14ac:dyDescent="0.2">
      <c r="A139" s="455">
        <v>30</v>
      </c>
      <c r="B139" s="456" t="s">
        <v>642</v>
      </c>
      <c r="C139" s="457" t="s">
        <v>643</v>
      </c>
      <c r="D139" s="458" t="s">
        <v>25</v>
      </c>
      <c r="E139" s="459">
        <v>140.4</v>
      </c>
      <c r="F139" s="459"/>
      <c r="G139" s="486">
        <f>E139*F139</f>
        <v>0</v>
      </c>
      <c r="H139" s="464" t="s">
        <v>665</v>
      </c>
      <c r="J139" s="235"/>
    </row>
    <row r="140" spans="1:10" ht="12.75" customHeight="1" x14ac:dyDescent="0.2">
      <c r="A140" s="460"/>
      <c r="B140" s="461"/>
      <c r="C140" s="522" t="s">
        <v>644</v>
      </c>
      <c r="D140" s="522"/>
      <c r="E140" s="462">
        <v>0</v>
      </c>
      <c r="F140" s="463"/>
      <c r="G140" s="505"/>
      <c r="H140" s="464" t="s">
        <v>666</v>
      </c>
      <c r="J140" s="235"/>
    </row>
    <row r="141" spans="1:10" ht="12.75" customHeight="1" x14ac:dyDescent="0.2">
      <c r="A141" s="460"/>
      <c r="B141" s="461"/>
      <c r="C141" s="522" t="s">
        <v>908</v>
      </c>
      <c r="D141" s="522"/>
      <c r="E141" s="462">
        <v>10.3</v>
      </c>
      <c r="F141" s="463"/>
      <c r="G141" s="505"/>
      <c r="H141" s="464" t="s">
        <v>586</v>
      </c>
      <c r="J141" s="235"/>
    </row>
    <row r="142" spans="1:10" ht="12.75" customHeight="1" x14ac:dyDescent="0.2">
      <c r="A142" s="460"/>
      <c r="B142" s="461"/>
      <c r="C142" s="522" t="s">
        <v>909</v>
      </c>
      <c r="D142" s="522"/>
      <c r="E142" s="462">
        <v>28.7</v>
      </c>
      <c r="F142" s="463"/>
      <c r="G142" s="505"/>
      <c r="H142" s="464" t="s">
        <v>667</v>
      </c>
      <c r="J142" s="235"/>
    </row>
    <row r="143" spans="1:10" ht="12.75" customHeight="1" x14ac:dyDescent="0.2">
      <c r="A143" s="460"/>
      <c r="B143" s="461"/>
      <c r="C143" s="522" t="s">
        <v>910</v>
      </c>
      <c r="D143" s="522"/>
      <c r="E143" s="462">
        <v>58.3</v>
      </c>
      <c r="F143" s="463"/>
      <c r="G143" s="505"/>
      <c r="H143" s="464" t="s">
        <v>668</v>
      </c>
      <c r="J143" s="235"/>
    </row>
    <row r="144" spans="1:10" ht="12.75" customHeight="1" x14ac:dyDescent="0.2">
      <c r="A144" s="460"/>
      <c r="B144" s="461"/>
      <c r="C144" s="522" t="s">
        <v>911</v>
      </c>
      <c r="D144" s="522"/>
      <c r="E144" s="462">
        <v>43.1</v>
      </c>
      <c r="F144" s="463"/>
      <c r="G144" s="505"/>
      <c r="H144" s="464" t="s">
        <v>659</v>
      </c>
      <c r="J144" s="235"/>
    </row>
    <row r="145" spans="1:99" ht="12.75" customHeight="1" x14ac:dyDescent="0.2">
      <c r="A145" s="455">
        <v>31</v>
      </c>
      <c r="B145" s="456" t="s">
        <v>648</v>
      </c>
      <c r="C145" s="457" t="s">
        <v>649</v>
      </c>
      <c r="D145" s="458" t="s">
        <v>25</v>
      </c>
      <c r="E145" s="459">
        <v>90.7</v>
      </c>
      <c r="F145" s="459"/>
      <c r="G145" s="486">
        <f>E145*F145</f>
        <v>0</v>
      </c>
      <c r="H145" s="464" t="s">
        <v>586</v>
      </c>
      <c r="J145" s="235"/>
    </row>
    <row r="146" spans="1:99" ht="12.75" customHeight="1" x14ac:dyDescent="0.2">
      <c r="A146" s="460"/>
      <c r="B146" s="461"/>
      <c r="C146" s="522" t="s">
        <v>650</v>
      </c>
      <c r="D146" s="522"/>
      <c r="E146" s="462">
        <v>0</v>
      </c>
      <c r="F146" s="463"/>
      <c r="G146" s="505"/>
      <c r="H146" s="464" t="s">
        <v>633</v>
      </c>
      <c r="J146" s="235"/>
    </row>
    <row r="147" spans="1:99" ht="12.75" customHeight="1" x14ac:dyDescent="0.2">
      <c r="A147" s="460"/>
      <c r="B147" s="461"/>
      <c r="C147" s="522" t="s">
        <v>912</v>
      </c>
      <c r="D147" s="522"/>
      <c r="E147" s="462">
        <v>85.2</v>
      </c>
      <c r="F147" s="463"/>
      <c r="G147" s="505"/>
      <c r="H147" s="464" t="s">
        <v>665</v>
      </c>
      <c r="J147" s="235"/>
    </row>
    <row r="148" spans="1:99" ht="12.75" customHeight="1" x14ac:dyDescent="0.2">
      <c r="A148" s="460"/>
      <c r="B148" s="461"/>
      <c r="C148" s="522" t="s">
        <v>913</v>
      </c>
      <c r="D148" s="522"/>
      <c r="E148" s="462">
        <v>4.5</v>
      </c>
      <c r="F148" s="463"/>
      <c r="G148" s="505"/>
      <c r="H148" s="464" t="s">
        <v>669</v>
      </c>
      <c r="J148" s="235"/>
    </row>
    <row r="149" spans="1:99" ht="12.75" customHeight="1" x14ac:dyDescent="0.2">
      <c r="A149" s="460"/>
      <c r="B149" s="461"/>
      <c r="C149" s="522" t="s">
        <v>914</v>
      </c>
      <c r="D149" s="522"/>
      <c r="E149" s="462">
        <v>1</v>
      </c>
      <c r="F149" s="463"/>
      <c r="G149" s="505"/>
      <c r="H149" s="464" t="s">
        <v>664</v>
      </c>
      <c r="J149" s="235"/>
    </row>
    <row r="150" spans="1:99" ht="12.75" customHeight="1" x14ac:dyDescent="0.2">
      <c r="A150" s="455">
        <v>32</v>
      </c>
      <c r="B150" s="456" t="s">
        <v>653</v>
      </c>
      <c r="C150" s="457" t="s">
        <v>654</v>
      </c>
      <c r="D150" s="458" t="s">
        <v>168</v>
      </c>
      <c r="E150" s="459">
        <v>72</v>
      </c>
      <c r="F150" s="459"/>
      <c r="G150" s="486">
        <f>E150*F150</f>
        <v>0</v>
      </c>
      <c r="H150" s="464" t="s">
        <v>586</v>
      </c>
      <c r="J150" s="235"/>
    </row>
    <row r="151" spans="1:99" ht="12.75" customHeight="1" x14ac:dyDescent="0.2">
      <c r="A151" s="460"/>
      <c r="B151" s="461"/>
      <c r="C151" s="522" t="s">
        <v>655</v>
      </c>
      <c r="D151" s="522"/>
      <c r="E151" s="462">
        <v>0</v>
      </c>
      <c r="F151" s="463"/>
      <c r="G151" s="505"/>
      <c r="H151" s="464" t="s">
        <v>670</v>
      </c>
      <c r="J151" s="235"/>
    </row>
    <row r="152" spans="1:99" ht="12.75" customHeight="1" x14ac:dyDescent="0.2">
      <c r="A152" s="460"/>
      <c r="B152" s="461"/>
      <c r="C152" s="522" t="s">
        <v>656</v>
      </c>
      <c r="D152" s="522"/>
      <c r="E152" s="462">
        <v>0</v>
      </c>
      <c r="F152" s="463"/>
      <c r="G152" s="505"/>
      <c r="H152" s="464" t="s">
        <v>671</v>
      </c>
      <c r="J152" s="235"/>
    </row>
    <row r="153" spans="1:99" ht="12.75" customHeight="1" x14ac:dyDescent="0.2">
      <c r="A153" s="460"/>
      <c r="B153" s="461"/>
      <c r="C153" s="522" t="s">
        <v>915</v>
      </c>
      <c r="D153" s="522"/>
      <c r="E153" s="462">
        <v>48</v>
      </c>
      <c r="F153" s="463"/>
      <c r="G153" s="505"/>
      <c r="H153" s="464" t="s">
        <v>672</v>
      </c>
      <c r="J153" s="235"/>
    </row>
    <row r="154" spans="1:99" ht="12.75" customHeight="1" x14ac:dyDescent="0.2">
      <c r="A154" s="460"/>
      <c r="B154" s="461"/>
      <c r="C154" s="522" t="s">
        <v>916</v>
      </c>
      <c r="D154" s="522"/>
      <c r="E154" s="462">
        <v>10</v>
      </c>
      <c r="F154" s="463"/>
      <c r="G154" s="505"/>
      <c r="H154" s="464" t="s">
        <v>586</v>
      </c>
      <c r="J154" s="235"/>
    </row>
    <row r="155" spans="1:99" ht="12.75" customHeight="1" x14ac:dyDescent="0.2">
      <c r="A155" s="460"/>
      <c r="B155" s="461"/>
      <c r="C155" s="522" t="s">
        <v>917</v>
      </c>
      <c r="D155" s="522"/>
      <c r="E155" s="462">
        <v>2</v>
      </c>
      <c r="F155" s="463"/>
      <c r="G155" s="505"/>
      <c r="H155" s="464" t="s">
        <v>673</v>
      </c>
      <c r="J155" s="235"/>
    </row>
    <row r="156" spans="1:99" ht="12.75" customHeight="1" x14ac:dyDescent="0.2">
      <c r="A156" s="460"/>
      <c r="B156" s="461"/>
      <c r="C156" s="523" t="s">
        <v>586</v>
      </c>
      <c r="D156" s="523"/>
      <c r="E156" s="488">
        <v>60</v>
      </c>
      <c r="F156" s="463"/>
      <c r="G156" s="505"/>
      <c r="H156" s="464" t="s">
        <v>674</v>
      </c>
      <c r="J156" s="235"/>
    </row>
    <row r="157" spans="1:99" ht="12.75" customHeight="1" x14ac:dyDescent="0.2">
      <c r="A157" s="460"/>
      <c r="B157" s="461"/>
      <c r="C157" s="522" t="s">
        <v>629</v>
      </c>
      <c r="D157" s="522"/>
      <c r="E157" s="462">
        <v>0</v>
      </c>
      <c r="F157" s="463"/>
      <c r="G157" s="505"/>
      <c r="H157" s="464" t="s">
        <v>675</v>
      </c>
      <c r="J157" s="235"/>
    </row>
    <row r="158" spans="1:99" ht="12.75" customHeight="1" x14ac:dyDescent="0.2">
      <c r="A158" s="460"/>
      <c r="B158" s="461"/>
      <c r="C158" s="522" t="s">
        <v>661</v>
      </c>
      <c r="D158" s="522"/>
      <c r="E158" s="462">
        <v>0</v>
      </c>
      <c r="F158" s="463"/>
      <c r="G158" s="505"/>
      <c r="H158" s="464" t="s">
        <v>586</v>
      </c>
      <c r="J158" s="235"/>
    </row>
    <row r="159" spans="1:99" x14ac:dyDescent="0.2">
      <c r="A159" s="460"/>
      <c r="B159" s="461"/>
      <c r="C159" s="522" t="s">
        <v>918</v>
      </c>
      <c r="D159" s="522"/>
      <c r="E159" s="462">
        <v>1</v>
      </c>
      <c r="F159" s="463"/>
      <c r="G159" s="505"/>
      <c r="J159" s="235">
        <v>2</v>
      </c>
      <c r="V159" s="229">
        <v>1</v>
      </c>
      <c r="W159" s="229">
        <v>1</v>
      </c>
      <c r="X159" s="229">
        <v>1</v>
      </c>
      <c r="AU159" s="229">
        <v>1</v>
      </c>
      <c r="AV159" s="229">
        <f>IF(AU159=1,G159,0)</f>
        <v>0</v>
      </c>
      <c r="AW159" s="229">
        <f>IF(AU159=2,G159,0)</f>
        <v>0</v>
      </c>
      <c r="AX159" s="229">
        <f>IF(AU159=3,G159,0)</f>
        <v>0</v>
      </c>
      <c r="AY159" s="229">
        <f>IF(AU159=4,G159,0)</f>
        <v>0</v>
      </c>
      <c r="AZ159" s="229">
        <f>IF(AU159=5,G159,0)</f>
        <v>0</v>
      </c>
      <c r="BV159" s="235">
        <v>1</v>
      </c>
      <c r="BW159" s="235">
        <v>1</v>
      </c>
      <c r="CU159" s="229">
        <v>3.0000000000000001E-5</v>
      </c>
    </row>
    <row r="160" spans="1:99" ht="12.75" customHeight="1" x14ac:dyDescent="0.2">
      <c r="A160" s="460"/>
      <c r="B160" s="461"/>
      <c r="C160" s="522" t="s">
        <v>919</v>
      </c>
      <c r="D160" s="522"/>
      <c r="E160" s="462">
        <v>1</v>
      </c>
      <c r="F160" s="463"/>
      <c r="G160" s="505"/>
      <c r="H160" s="464" t="s">
        <v>678</v>
      </c>
      <c r="J160" s="235"/>
    </row>
    <row r="161" spans="1:99" ht="12.75" customHeight="1" x14ac:dyDescent="0.2">
      <c r="A161" s="460"/>
      <c r="B161" s="461"/>
      <c r="C161" s="522" t="s">
        <v>920</v>
      </c>
      <c r="D161" s="522"/>
      <c r="E161" s="462">
        <v>1</v>
      </c>
      <c r="F161" s="463"/>
      <c r="G161" s="505"/>
      <c r="H161" s="464" t="s">
        <v>679</v>
      </c>
      <c r="J161" s="235"/>
    </row>
    <row r="162" spans="1:99" ht="12.75" customHeight="1" x14ac:dyDescent="0.2">
      <c r="A162" s="460"/>
      <c r="B162" s="461"/>
      <c r="C162" s="522" t="s">
        <v>921</v>
      </c>
      <c r="D162" s="522"/>
      <c r="E162" s="462">
        <v>1</v>
      </c>
      <c r="F162" s="463"/>
      <c r="G162" s="505"/>
      <c r="H162" s="464" t="s">
        <v>680</v>
      </c>
      <c r="J162" s="235"/>
    </row>
    <row r="163" spans="1:99" ht="12.75" customHeight="1" x14ac:dyDescent="0.2">
      <c r="A163" s="460"/>
      <c r="B163" s="461"/>
      <c r="C163" s="522" t="s">
        <v>922</v>
      </c>
      <c r="D163" s="522"/>
      <c r="E163" s="462">
        <v>1</v>
      </c>
      <c r="F163" s="463"/>
      <c r="G163" s="505"/>
      <c r="H163" s="464" t="s">
        <v>586</v>
      </c>
      <c r="J163" s="235"/>
    </row>
    <row r="164" spans="1:99" ht="12.75" customHeight="1" x14ac:dyDescent="0.2">
      <c r="A164" s="460"/>
      <c r="B164" s="461"/>
      <c r="C164" s="523" t="s">
        <v>586</v>
      </c>
      <c r="D164" s="523"/>
      <c r="E164" s="488">
        <v>5</v>
      </c>
      <c r="F164" s="463"/>
      <c r="G164" s="505"/>
      <c r="H164" s="464" t="s">
        <v>681</v>
      </c>
      <c r="J164" s="235"/>
    </row>
    <row r="165" spans="1:99" ht="12.75" customHeight="1" x14ac:dyDescent="0.2">
      <c r="A165" s="460"/>
      <c r="B165" s="461"/>
      <c r="C165" s="522" t="s">
        <v>667</v>
      </c>
      <c r="D165" s="522"/>
      <c r="E165" s="462">
        <v>0</v>
      </c>
      <c r="F165" s="463"/>
      <c r="G165" s="505"/>
      <c r="H165" s="464" t="s">
        <v>682</v>
      </c>
      <c r="J165" s="235"/>
    </row>
    <row r="166" spans="1:99" ht="12.75" customHeight="1" x14ac:dyDescent="0.2">
      <c r="A166" s="460"/>
      <c r="B166" s="461"/>
      <c r="C166" s="522" t="s">
        <v>923</v>
      </c>
      <c r="D166" s="522"/>
      <c r="E166" s="462">
        <v>5</v>
      </c>
      <c r="F166" s="463"/>
      <c r="G166" s="505"/>
      <c r="H166" s="464" t="s">
        <v>683</v>
      </c>
      <c r="J166" s="235"/>
    </row>
    <row r="167" spans="1:99" ht="12.75" customHeight="1" x14ac:dyDescent="0.2">
      <c r="A167" s="460"/>
      <c r="B167" s="461"/>
      <c r="C167" s="523" t="s">
        <v>586</v>
      </c>
      <c r="D167" s="523"/>
      <c r="E167" s="488">
        <v>5</v>
      </c>
      <c r="F167" s="463"/>
      <c r="G167" s="505"/>
      <c r="H167" s="464" t="s">
        <v>586</v>
      </c>
      <c r="J167" s="235"/>
    </row>
    <row r="168" spans="1:99" ht="12.75" customHeight="1" x14ac:dyDescent="0.2">
      <c r="A168" s="460"/>
      <c r="B168" s="461"/>
      <c r="C168" s="522" t="s">
        <v>670</v>
      </c>
      <c r="D168" s="522"/>
      <c r="E168" s="462">
        <v>0</v>
      </c>
      <c r="F168" s="463"/>
      <c r="G168" s="505"/>
      <c r="H168" s="464" t="s">
        <v>684</v>
      </c>
      <c r="J168" s="235"/>
    </row>
    <row r="169" spans="1:99" ht="12.75" customHeight="1" x14ac:dyDescent="0.2">
      <c r="A169" s="460"/>
      <c r="B169" s="461"/>
      <c r="C169" s="522" t="s">
        <v>924</v>
      </c>
      <c r="D169" s="522"/>
      <c r="E169" s="462">
        <v>1</v>
      </c>
      <c r="F169" s="463"/>
      <c r="G169" s="505"/>
      <c r="H169" s="464" t="s">
        <v>685</v>
      </c>
      <c r="J169" s="235"/>
    </row>
    <row r="170" spans="1:99" ht="12.75" customHeight="1" x14ac:dyDescent="0.2">
      <c r="A170" s="460"/>
      <c r="B170" s="461"/>
      <c r="C170" s="522" t="s">
        <v>925</v>
      </c>
      <c r="D170" s="522"/>
      <c r="E170" s="462">
        <v>1</v>
      </c>
      <c r="F170" s="463"/>
      <c r="G170" s="505"/>
      <c r="H170" s="464" t="s">
        <v>686</v>
      </c>
      <c r="J170" s="235"/>
    </row>
    <row r="171" spans="1:99" ht="12.75" customHeight="1" x14ac:dyDescent="0.2">
      <c r="A171" s="460"/>
      <c r="B171" s="461"/>
      <c r="C171" s="523" t="s">
        <v>586</v>
      </c>
      <c r="D171" s="523"/>
      <c r="E171" s="488">
        <v>2</v>
      </c>
      <c r="F171" s="463"/>
      <c r="G171" s="505"/>
      <c r="H171" s="464" t="s">
        <v>586</v>
      </c>
      <c r="J171" s="235"/>
    </row>
    <row r="172" spans="1:99" ht="12.75" customHeight="1" x14ac:dyDescent="0.2">
      <c r="A172" s="455">
        <v>33</v>
      </c>
      <c r="B172" s="456" t="s">
        <v>676</v>
      </c>
      <c r="C172" s="457" t="s">
        <v>677</v>
      </c>
      <c r="D172" s="458" t="s">
        <v>168</v>
      </c>
      <c r="E172" s="459">
        <v>16</v>
      </c>
      <c r="F172" s="459"/>
      <c r="G172" s="486">
        <f>E172*F172</f>
        <v>0</v>
      </c>
      <c r="H172" s="464" t="s">
        <v>687</v>
      </c>
      <c r="J172" s="235"/>
    </row>
    <row r="173" spans="1:99" ht="12.75" customHeight="1" x14ac:dyDescent="0.2">
      <c r="A173" s="460"/>
      <c r="B173" s="461"/>
      <c r="C173" s="522" t="s">
        <v>681</v>
      </c>
      <c r="D173" s="522"/>
      <c r="E173" s="462">
        <v>0</v>
      </c>
      <c r="F173" s="463"/>
      <c r="G173" s="505"/>
      <c r="H173" s="464" t="s">
        <v>688</v>
      </c>
      <c r="J173" s="235"/>
    </row>
    <row r="174" spans="1:99" ht="12.75" customHeight="1" x14ac:dyDescent="0.2">
      <c r="A174" s="460"/>
      <c r="B174" s="461"/>
      <c r="C174" s="522" t="s">
        <v>926</v>
      </c>
      <c r="D174" s="522"/>
      <c r="E174" s="462">
        <v>1</v>
      </c>
      <c r="F174" s="463"/>
      <c r="G174" s="505"/>
      <c r="H174" s="464" t="s">
        <v>586</v>
      </c>
      <c r="J174" s="235"/>
    </row>
    <row r="175" spans="1:99" x14ac:dyDescent="0.2">
      <c r="A175" s="460"/>
      <c r="B175" s="461"/>
      <c r="C175" s="523" t="s">
        <v>586</v>
      </c>
      <c r="D175" s="523"/>
      <c r="E175" s="488">
        <v>1</v>
      </c>
      <c r="F175" s="463"/>
      <c r="G175" s="505"/>
      <c r="J175" s="235">
        <v>2</v>
      </c>
      <c r="V175" s="229">
        <v>1</v>
      </c>
      <c r="W175" s="229">
        <v>1</v>
      </c>
      <c r="X175" s="229">
        <v>1</v>
      </c>
      <c r="AU175" s="229">
        <v>1</v>
      </c>
      <c r="AV175" s="229">
        <f>IF(AU175=1,G175,0)</f>
        <v>0</v>
      </c>
      <c r="AW175" s="229">
        <f>IF(AU175=2,G175,0)</f>
        <v>0</v>
      </c>
      <c r="AX175" s="229">
        <f>IF(AU175=3,G175,0)</f>
        <v>0</v>
      </c>
      <c r="AY175" s="229">
        <f>IF(AU175=4,G175,0)</f>
        <v>0</v>
      </c>
      <c r="AZ175" s="229">
        <f>IF(AU175=5,G175,0)</f>
        <v>0</v>
      </c>
      <c r="BV175" s="235">
        <v>1</v>
      </c>
      <c r="BW175" s="235">
        <v>1</v>
      </c>
      <c r="CU175" s="229">
        <v>2.0000000000000002E-5</v>
      </c>
    </row>
    <row r="176" spans="1:99" ht="12.75" customHeight="1" x14ac:dyDescent="0.2">
      <c r="A176" s="460"/>
      <c r="B176" s="461"/>
      <c r="C176" s="522" t="s">
        <v>684</v>
      </c>
      <c r="D176" s="522"/>
      <c r="E176" s="462">
        <v>0</v>
      </c>
      <c r="F176" s="463"/>
      <c r="G176" s="505"/>
      <c r="H176" s="464" t="s">
        <v>656</v>
      </c>
      <c r="J176" s="235"/>
    </row>
    <row r="177" spans="1:99" ht="12.75" customHeight="1" x14ac:dyDescent="0.2">
      <c r="A177" s="460"/>
      <c r="B177" s="461"/>
      <c r="C177" s="522" t="s">
        <v>927</v>
      </c>
      <c r="D177" s="522"/>
      <c r="E177" s="462">
        <v>8</v>
      </c>
      <c r="F177" s="463"/>
      <c r="G177" s="505"/>
      <c r="H177" s="464" t="s">
        <v>691</v>
      </c>
      <c r="J177" s="235"/>
    </row>
    <row r="178" spans="1:99" x14ac:dyDescent="0.2">
      <c r="A178" s="460"/>
      <c r="B178" s="461"/>
      <c r="C178" s="522" t="s">
        <v>924</v>
      </c>
      <c r="D178" s="522"/>
      <c r="E178" s="462">
        <v>1</v>
      </c>
      <c r="F178" s="463"/>
      <c r="G178" s="505"/>
      <c r="J178" s="235">
        <v>2</v>
      </c>
      <c r="V178" s="229">
        <v>1</v>
      </c>
      <c r="W178" s="229">
        <v>1</v>
      </c>
      <c r="X178" s="229">
        <v>1</v>
      </c>
      <c r="AU178" s="229">
        <v>1</v>
      </c>
      <c r="AV178" s="229">
        <f>IF(AU178=1,G178,0)</f>
        <v>0</v>
      </c>
      <c r="AW178" s="229">
        <f>IF(AU178=2,G178,0)</f>
        <v>0</v>
      </c>
      <c r="AX178" s="229">
        <f>IF(AU178=3,G178,0)</f>
        <v>0</v>
      </c>
      <c r="AY178" s="229">
        <f>IF(AU178=4,G178,0)</f>
        <v>0</v>
      </c>
      <c r="AZ178" s="229">
        <f>IF(AU178=5,G178,0)</f>
        <v>0</v>
      </c>
      <c r="BV178" s="235">
        <v>1</v>
      </c>
      <c r="BW178" s="235">
        <v>1</v>
      </c>
      <c r="CU178" s="229">
        <v>3.0000000000000001E-5</v>
      </c>
    </row>
    <row r="179" spans="1:99" ht="12.75" customHeight="1" x14ac:dyDescent="0.2">
      <c r="A179" s="460"/>
      <c r="B179" s="461"/>
      <c r="C179" s="523" t="s">
        <v>586</v>
      </c>
      <c r="D179" s="523"/>
      <c r="E179" s="488">
        <v>9</v>
      </c>
      <c r="F179" s="463"/>
      <c r="G179" s="505"/>
      <c r="H179" s="464" t="s">
        <v>661</v>
      </c>
      <c r="J179" s="235"/>
    </row>
    <row r="180" spans="1:99" ht="12.75" customHeight="1" x14ac:dyDescent="0.2">
      <c r="A180" s="460"/>
      <c r="B180" s="461"/>
      <c r="C180" s="522" t="s">
        <v>687</v>
      </c>
      <c r="D180" s="522"/>
      <c r="E180" s="462">
        <v>0</v>
      </c>
      <c r="F180" s="463"/>
      <c r="G180" s="505"/>
      <c r="H180" s="464" t="s">
        <v>694</v>
      </c>
      <c r="J180" s="235"/>
    </row>
    <row r="181" spans="1:99" ht="12.75" customHeight="1" x14ac:dyDescent="0.2">
      <c r="A181" s="460"/>
      <c r="B181" s="461"/>
      <c r="C181" s="522" t="s">
        <v>928</v>
      </c>
      <c r="D181" s="522"/>
      <c r="E181" s="462">
        <v>6</v>
      </c>
      <c r="F181" s="463"/>
      <c r="G181" s="505"/>
      <c r="H181" s="464" t="s">
        <v>665</v>
      </c>
      <c r="J181" s="235"/>
    </row>
    <row r="182" spans="1:99" ht="12.75" customHeight="1" x14ac:dyDescent="0.2">
      <c r="A182" s="460"/>
      <c r="B182" s="461"/>
      <c r="C182" s="523" t="s">
        <v>586</v>
      </c>
      <c r="D182" s="523"/>
      <c r="E182" s="488">
        <v>6</v>
      </c>
      <c r="F182" s="463"/>
      <c r="G182" s="505"/>
      <c r="H182" s="464" t="s">
        <v>695</v>
      </c>
      <c r="J182" s="235"/>
    </row>
    <row r="183" spans="1:99" ht="12.75" customHeight="1" x14ac:dyDescent="0.2">
      <c r="A183" s="455">
        <v>34</v>
      </c>
      <c r="B183" s="456" t="s">
        <v>689</v>
      </c>
      <c r="C183" s="457" t="s">
        <v>690</v>
      </c>
      <c r="D183" s="458" t="s">
        <v>168</v>
      </c>
      <c r="E183" s="459">
        <v>1</v>
      </c>
      <c r="F183" s="459"/>
      <c r="G183" s="486">
        <f>E183*F183</f>
        <v>0</v>
      </c>
      <c r="H183" s="464" t="s">
        <v>696</v>
      </c>
      <c r="J183" s="235"/>
    </row>
    <row r="184" spans="1:99" x14ac:dyDescent="0.2">
      <c r="A184" s="460"/>
      <c r="B184" s="461"/>
      <c r="C184" s="522" t="s">
        <v>929</v>
      </c>
      <c r="D184" s="522"/>
      <c r="E184" s="462">
        <v>0</v>
      </c>
      <c r="F184" s="463"/>
      <c r="G184" s="505"/>
      <c r="J184" s="235">
        <v>2</v>
      </c>
      <c r="V184" s="229">
        <v>1</v>
      </c>
      <c r="W184" s="229">
        <v>1</v>
      </c>
      <c r="X184" s="229">
        <v>1</v>
      </c>
      <c r="AU184" s="229">
        <v>1</v>
      </c>
      <c r="AV184" s="229">
        <f>IF(AU184=1,G184,0)</f>
        <v>0</v>
      </c>
      <c r="AW184" s="229">
        <f>IF(AU184=2,G184,0)</f>
        <v>0</v>
      </c>
      <c r="AX184" s="229">
        <f>IF(AU184=3,G184,0)</f>
        <v>0</v>
      </c>
      <c r="AY184" s="229">
        <f>IF(AU184=4,G184,0)</f>
        <v>0</v>
      </c>
      <c r="AZ184" s="229">
        <f>IF(AU184=5,G184,0)</f>
        <v>0</v>
      </c>
      <c r="BV184" s="235">
        <v>1</v>
      </c>
      <c r="BW184" s="235">
        <v>1</v>
      </c>
      <c r="CU184" s="229">
        <v>1.1E-4</v>
      </c>
    </row>
    <row r="185" spans="1:99" x14ac:dyDescent="0.2">
      <c r="A185" s="460"/>
      <c r="B185" s="461"/>
      <c r="C185" s="522" t="s">
        <v>930</v>
      </c>
      <c r="D185" s="522"/>
      <c r="E185" s="462">
        <v>1</v>
      </c>
      <c r="F185" s="463"/>
      <c r="G185" s="505"/>
      <c r="J185" s="235">
        <v>2</v>
      </c>
      <c r="V185" s="229">
        <v>1</v>
      </c>
      <c r="W185" s="229">
        <v>1</v>
      </c>
      <c r="X185" s="229">
        <v>1</v>
      </c>
      <c r="AU185" s="229">
        <v>1</v>
      </c>
      <c r="AV185" s="229">
        <f>IF(AU185=1,G185,0)</f>
        <v>0</v>
      </c>
      <c r="AW185" s="229">
        <f>IF(AU185=2,G185,0)</f>
        <v>0</v>
      </c>
      <c r="AX185" s="229">
        <f>IF(AU185=3,G185,0)</f>
        <v>0</v>
      </c>
      <c r="AY185" s="229">
        <f>IF(AU185=4,G185,0)</f>
        <v>0</v>
      </c>
      <c r="AZ185" s="229">
        <f>IF(AU185=5,G185,0)</f>
        <v>0</v>
      </c>
      <c r="BV185" s="235">
        <v>1</v>
      </c>
      <c r="BW185" s="235">
        <v>1</v>
      </c>
      <c r="CU185" s="229">
        <v>1.2999999999999999E-4</v>
      </c>
    </row>
    <row r="186" spans="1:99" x14ac:dyDescent="0.2">
      <c r="A186" s="455">
        <v>35</v>
      </c>
      <c r="B186" s="456" t="s">
        <v>931</v>
      </c>
      <c r="C186" s="457" t="s">
        <v>932</v>
      </c>
      <c r="D186" s="458" t="s">
        <v>168</v>
      </c>
      <c r="E186" s="459">
        <v>3</v>
      </c>
      <c r="F186" s="459"/>
      <c r="G186" s="486">
        <f>E186*F186</f>
        <v>0</v>
      </c>
      <c r="J186" s="235">
        <v>2</v>
      </c>
      <c r="V186" s="229">
        <v>1</v>
      </c>
      <c r="W186" s="229">
        <v>1</v>
      </c>
      <c r="X186" s="229">
        <v>1</v>
      </c>
      <c r="AU186" s="229">
        <v>1</v>
      </c>
      <c r="AV186" s="229">
        <f>IF(AU186=1,G186,0)</f>
        <v>0</v>
      </c>
      <c r="AW186" s="229">
        <f>IF(AU186=2,G186,0)</f>
        <v>0</v>
      </c>
      <c r="AX186" s="229">
        <f>IF(AU186=3,G186,0)</f>
        <v>0</v>
      </c>
      <c r="AY186" s="229">
        <f>IF(AU186=4,G186,0)</f>
        <v>0</v>
      </c>
      <c r="AZ186" s="229">
        <f>IF(AU186=5,G186,0)</f>
        <v>0</v>
      </c>
      <c r="BV186" s="235">
        <v>1</v>
      </c>
      <c r="BW186" s="235">
        <v>1</v>
      </c>
      <c r="CU186" s="229">
        <v>0</v>
      </c>
    </row>
    <row r="187" spans="1:99" ht="12.75" customHeight="1" x14ac:dyDescent="0.2">
      <c r="A187" s="460"/>
      <c r="B187" s="461"/>
      <c r="C187" s="522" t="s">
        <v>933</v>
      </c>
      <c r="D187" s="522"/>
      <c r="E187" s="462">
        <v>0</v>
      </c>
      <c r="F187" s="463"/>
      <c r="G187" s="505"/>
      <c r="H187" s="464" t="s">
        <v>703</v>
      </c>
      <c r="J187" s="235"/>
    </row>
    <row r="188" spans="1:99" x14ac:dyDescent="0.2">
      <c r="A188" s="460"/>
      <c r="B188" s="461"/>
      <c r="C188" s="522" t="s">
        <v>934</v>
      </c>
      <c r="D188" s="522"/>
      <c r="E188" s="462">
        <v>2</v>
      </c>
      <c r="F188" s="463"/>
      <c r="G188" s="505"/>
      <c r="J188" s="235">
        <v>2</v>
      </c>
      <c r="V188" s="229">
        <v>1</v>
      </c>
      <c r="W188" s="229">
        <v>1</v>
      </c>
      <c r="X188" s="229">
        <v>1</v>
      </c>
      <c r="AU188" s="229">
        <v>1</v>
      </c>
      <c r="AV188" s="229">
        <f>IF(AU188=1,G188,0)</f>
        <v>0</v>
      </c>
      <c r="AW188" s="229">
        <f>IF(AU188=2,G188,0)</f>
        <v>0</v>
      </c>
      <c r="AX188" s="229">
        <f>IF(AU188=3,G188,0)</f>
        <v>0</v>
      </c>
      <c r="AY188" s="229">
        <f>IF(AU188=4,G188,0)</f>
        <v>0</v>
      </c>
      <c r="AZ188" s="229">
        <f>IF(AU188=5,G188,0)</f>
        <v>0</v>
      </c>
      <c r="BV188" s="235">
        <v>1</v>
      </c>
      <c r="BW188" s="235">
        <v>1</v>
      </c>
      <c r="CU188" s="229">
        <v>0</v>
      </c>
    </row>
    <row r="189" spans="1:99" x14ac:dyDescent="0.2">
      <c r="A189" s="460"/>
      <c r="B189" s="461"/>
      <c r="C189" s="522" t="s">
        <v>935</v>
      </c>
      <c r="D189" s="522"/>
      <c r="E189" s="462">
        <v>1</v>
      </c>
      <c r="F189" s="463"/>
      <c r="G189" s="505"/>
      <c r="J189" s="235">
        <v>2</v>
      </c>
      <c r="V189" s="229">
        <v>1</v>
      </c>
      <c r="W189" s="229">
        <v>1</v>
      </c>
      <c r="X189" s="229">
        <v>1</v>
      </c>
      <c r="AU189" s="229">
        <v>1</v>
      </c>
      <c r="AV189" s="229">
        <f>IF(AU189=1,G189,0)</f>
        <v>0</v>
      </c>
      <c r="AW189" s="229">
        <f>IF(AU189=2,G189,0)</f>
        <v>0</v>
      </c>
      <c r="AX189" s="229">
        <f>IF(AU189=3,G189,0)</f>
        <v>0</v>
      </c>
      <c r="AY189" s="229">
        <f>IF(AU189=4,G189,0)</f>
        <v>0</v>
      </c>
      <c r="AZ189" s="229">
        <f>IF(AU189=5,G189,0)</f>
        <v>0</v>
      </c>
      <c r="BV189" s="235">
        <v>1</v>
      </c>
      <c r="BW189" s="235">
        <v>1</v>
      </c>
      <c r="CU189" s="229">
        <v>0.14494000000000001</v>
      </c>
    </row>
    <row r="190" spans="1:99" ht="12.75" customHeight="1" x14ac:dyDescent="0.2">
      <c r="A190" s="455">
        <v>36</v>
      </c>
      <c r="B190" s="456" t="s">
        <v>692</v>
      </c>
      <c r="C190" s="457" t="s">
        <v>693</v>
      </c>
      <c r="D190" s="458" t="s">
        <v>168</v>
      </c>
      <c r="E190" s="459">
        <v>1</v>
      </c>
      <c r="F190" s="459"/>
      <c r="G190" s="486">
        <f>E190*F190</f>
        <v>0</v>
      </c>
      <c r="H190" s="464" t="s">
        <v>706</v>
      </c>
      <c r="J190" s="235"/>
    </row>
    <row r="191" spans="1:99" ht="12.75" customHeight="1" x14ac:dyDescent="0.2">
      <c r="A191" s="460"/>
      <c r="B191" s="461"/>
      <c r="C191" s="522" t="s">
        <v>661</v>
      </c>
      <c r="D191" s="522"/>
      <c r="E191" s="462">
        <v>0</v>
      </c>
      <c r="F191" s="463"/>
      <c r="G191" s="505"/>
      <c r="H191" s="464" t="s">
        <v>707</v>
      </c>
      <c r="J191" s="235"/>
    </row>
    <row r="192" spans="1:99" x14ac:dyDescent="0.2">
      <c r="A192" s="460"/>
      <c r="B192" s="461"/>
      <c r="C192" s="522" t="s">
        <v>924</v>
      </c>
      <c r="D192" s="522"/>
      <c r="E192" s="462">
        <v>1</v>
      </c>
      <c r="F192" s="463"/>
      <c r="G192" s="505"/>
      <c r="J192" s="235">
        <v>2</v>
      </c>
      <c r="V192" s="229">
        <v>1</v>
      </c>
      <c r="W192" s="229">
        <v>1</v>
      </c>
      <c r="X192" s="229">
        <v>1</v>
      </c>
      <c r="AU192" s="229">
        <v>1</v>
      </c>
      <c r="AV192" s="229">
        <f>IF(AU192=1,G192,0)</f>
        <v>0</v>
      </c>
      <c r="AW192" s="229">
        <f>IF(AU192=2,G192,0)</f>
        <v>0</v>
      </c>
      <c r="AX192" s="229">
        <f>IF(AU192=3,G192,0)</f>
        <v>0</v>
      </c>
      <c r="AY192" s="229">
        <f>IF(AU192=4,G192,0)</f>
        <v>0</v>
      </c>
      <c r="AZ192" s="229">
        <f>IF(AU192=5,G192,0)</f>
        <v>0</v>
      </c>
      <c r="BV192" s="235">
        <v>1</v>
      </c>
      <c r="BW192" s="235">
        <v>1</v>
      </c>
      <c r="CU192" s="229">
        <v>0</v>
      </c>
    </row>
    <row r="193" spans="1:99" x14ac:dyDescent="0.2">
      <c r="A193" s="455">
        <v>37</v>
      </c>
      <c r="B193" s="456" t="s">
        <v>697</v>
      </c>
      <c r="C193" s="457" t="s">
        <v>698</v>
      </c>
      <c r="D193" s="458" t="s">
        <v>494</v>
      </c>
      <c r="E193" s="459">
        <v>14</v>
      </c>
      <c r="F193" s="459"/>
      <c r="G193" s="486">
        <f>E193*F193</f>
        <v>0</v>
      </c>
      <c r="J193" s="235">
        <v>2</v>
      </c>
      <c r="V193" s="229">
        <v>1</v>
      </c>
      <c r="W193" s="229">
        <v>1</v>
      </c>
      <c r="X193" s="229">
        <v>1</v>
      </c>
      <c r="AU193" s="229">
        <v>1</v>
      </c>
      <c r="AV193" s="229">
        <f>IF(AU193=1,G193,0)</f>
        <v>0</v>
      </c>
      <c r="AW193" s="229">
        <f>IF(AU193=2,G193,0)</f>
        <v>0</v>
      </c>
      <c r="AX193" s="229">
        <f>IF(AU193=3,G193,0)</f>
        <v>0</v>
      </c>
      <c r="AY193" s="229">
        <f>IF(AU193=4,G193,0)</f>
        <v>0</v>
      </c>
      <c r="AZ193" s="229">
        <f>IF(AU193=5,G193,0)</f>
        <v>0</v>
      </c>
      <c r="BV193" s="235">
        <v>1</v>
      </c>
      <c r="BW193" s="235">
        <v>1</v>
      </c>
      <c r="CU193" s="229">
        <v>0</v>
      </c>
    </row>
    <row r="194" spans="1:99" x14ac:dyDescent="0.2">
      <c r="A194" s="455">
        <v>38</v>
      </c>
      <c r="B194" s="456" t="s">
        <v>699</v>
      </c>
      <c r="C194" s="457" t="s">
        <v>700</v>
      </c>
      <c r="D194" s="458" t="s">
        <v>494</v>
      </c>
      <c r="E194" s="459">
        <v>4</v>
      </c>
      <c r="F194" s="459"/>
      <c r="G194" s="486">
        <f>E194*F194</f>
        <v>0</v>
      </c>
      <c r="J194" s="235">
        <v>2</v>
      </c>
      <c r="V194" s="229">
        <v>2</v>
      </c>
      <c r="W194" s="229">
        <v>1</v>
      </c>
      <c r="X194" s="229">
        <v>1</v>
      </c>
      <c r="AU194" s="229">
        <v>1</v>
      </c>
      <c r="AV194" s="229">
        <f>IF(AU194=1,G194,0)</f>
        <v>0</v>
      </c>
      <c r="AW194" s="229">
        <f>IF(AU194=2,G194,0)</f>
        <v>0</v>
      </c>
      <c r="AX194" s="229">
        <f>IF(AU194=3,G194,0)</f>
        <v>0</v>
      </c>
      <c r="AY194" s="229">
        <f>IF(AU194=4,G194,0)</f>
        <v>0</v>
      </c>
      <c r="AZ194" s="229">
        <f>IF(AU194=5,G194,0)</f>
        <v>0</v>
      </c>
      <c r="BV194" s="235">
        <v>2</v>
      </c>
      <c r="BW194" s="235">
        <v>1</v>
      </c>
      <c r="CU194" s="229">
        <v>5.883E-2</v>
      </c>
    </row>
    <row r="195" spans="1:99" ht="12.75" customHeight="1" x14ac:dyDescent="0.2">
      <c r="A195" s="455">
        <v>39</v>
      </c>
      <c r="B195" s="456" t="s">
        <v>701</v>
      </c>
      <c r="C195" s="457" t="s">
        <v>702</v>
      </c>
      <c r="D195" s="458" t="s">
        <v>25</v>
      </c>
      <c r="E195" s="459">
        <v>474.42500000000001</v>
      </c>
      <c r="F195" s="459"/>
      <c r="G195" s="486">
        <f>E195*F195</f>
        <v>0</v>
      </c>
      <c r="H195" s="464" t="s">
        <v>711</v>
      </c>
      <c r="J195" s="235"/>
    </row>
    <row r="196" spans="1:99" x14ac:dyDescent="0.2">
      <c r="A196" s="460"/>
      <c r="B196" s="461"/>
      <c r="C196" s="522" t="s">
        <v>936</v>
      </c>
      <c r="D196" s="522"/>
      <c r="E196" s="462">
        <v>474.42500000000001</v>
      </c>
      <c r="F196" s="463"/>
      <c r="G196" s="505"/>
      <c r="J196" s="235">
        <v>2</v>
      </c>
      <c r="V196" s="229">
        <v>2</v>
      </c>
      <c r="W196" s="229">
        <v>1</v>
      </c>
      <c r="X196" s="229">
        <v>1</v>
      </c>
      <c r="AU196" s="229">
        <v>1</v>
      </c>
      <c r="AV196" s="229">
        <f>IF(AU196=1,G196,0)</f>
        <v>0</v>
      </c>
      <c r="AW196" s="229">
        <f>IF(AU196=2,G196,0)</f>
        <v>0</v>
      </c>
      <c r="AX196" s="229">
        <f>IF(AU196=3,G196,0)</f>
        <v>0</v>
      </c>
      <c r="AY196" s="229">
        <f>IF(AU196=4,G196,0)</f>
        <v>0</v>
      </c>
      <c r="AZ196" s="229">
        <f>IF(AU196=5,G196,0)</f>
        <v>0</v>
      </c>
      <c r="BV196" s="235">
        <v>2</v>
      </c>
      <c r="BW196" s="235">
        <v>1</v>
      </c>
      <c r="CU196" s="229">
        <v>6.0130000000000003E-2</v>
      </c>
    </row>
    <row r="197" spans="1:99" ht="12.75" customHeight="1" x14ac:dyDescent="0.2">
      <c r="A197" s="455">
        <v>40</v>
      </c>
      <c r="B197" s="456" t="s">
        <v>704</v>
      </c>
      <c r="C197" s="457" t="s">
        <v>705</v>
      </c>
      <c r="D197" s="458" t="s">
        <v>168</v>
      </c>
      <c r="E197" s="459">
        <v>29</v>
      </c>
      <c r="F197" s="459"/>
      <c r="G197" s="486">
        <f>E197*F197</f>
        <v>0</v>
      </c>
      <c r="H197" s="464" t="s">
        <v>712</v>
      </c>
      <c r="J197" s="235"/>
    </row>
    <row r="198" spans="1:99" x14ac:dyDescent="0.2">
      <c r="A198" s="460"/>
      <c r="B198" s="461"/>
      <c r="C198" s="522" t="s">
        <v>937</v>
      </c>
      <c r="D198" s="522"/>
      <c r="E198" s="462">
        <v>25</v>
      </c>
      <c r="F198" s="463"/>
      <c r="G198" s="505"/>
      <c r="J198" s="235">
        <v>2</v>
      </c>
      <c r="V198" s="229">
        <v>2</v>
      </c>
      <c r="W198" s="229">
        <v>1</v>
      </c>
      <c r="X198" s="229">
        <v>1</v>
      </c>
      <c r="AU198" s="229">
        <v>1</v>
      </c>
      <c r="AV198" s="229">
        <f>IF(AU198=1,G198,0)</f>
        <v>0</v>
      </c>
      <c r="AW198" s="229">
        <f>IF(AU198=2,G198,0)</f>
        <v>0</v>
      </c>
      <c r="AX198" s="229">
        <f>IF(AU198=3,G198,0)</f>
        <v>0</v>
      </c>
      <c r="AY198" s="229">
        <f>IF(AU198=4,G198,0)</f>
        <v>0</v>
      </c>
      <c r="AZ198" s="229">
        <f>IF(AU198=5,G198,0)</f>
        <v>0</v>
      </c>
      <c r="BV198" s="235">
        <v>2</v>
      </c>
      <c r="BW198" s="235">
        <v>1</v>
      </c>
      <c r="CU198" s="229">
        <v>6.0130000000000003E-2</v>
      </c>
    </row>
    <row r="199" spans="1:99" ht="12.75" customHeight="1" x14ac:dyDescent="0.2">
      <c r="A199" s="460"/>
      <c r="B199" s="461"/>
      <c r="C199" s="522" t="s">
        <v>707</v>
      </c>
      <c r="D199" s="522"/>
      <c r="E199" s="462">
        <v>4</v>
      </c>
      <c r="F199" s="463"/>
      <c r="G199" s="505"/>
      <c r="H199" s="464" t="s">
        <v>715</v>
      </c>
      <c r="J199" s="235"/>
    </row>
    <row r="200" spans="1:99" ht="22.5" x14ac:dyDescent="0.2">
      <c r="A200" s="455">
        <v>41</v>
      </c>
      <c r="B200" s="456" t="s">
        <v>708</v>
      </c>
      <c r="C200" s="457" t="s">
        <v>938</v>
      </c>
      <c r="D200" s="458" t="s">
        <v>79</v>
      </c>
      <c r="E200" s="459">
        <v>1</v>
      </c>
      <c r="F200" s="459"/>
      <c r="G200" s="486">
        <f>E200*F200</f>
        <v>0</v>
      </c>
      <c r="J200" s="235">
        <v>2</v>
      </c>
      <c r="V200" s="229">
        <v>2</v>
      </c>
      <c r="W200" s="229">
        <v>1</v>
      </c>
      <c r="X200" s="229">
        <v>1</v>
      </c>
      <c r="AU200" s="229">
        <v>1</v>
      </c>
      <c r="AV200" s="229">
        <f>IF(AU200=1,G200,0)</f>
        <v>0</v>
      </c>
      <c r="AW200" s="229">
        <f>IF(AU200=2,G200,0)</f>
        <v>0</v>
      </c>
      <c r="AX200" s="229">
        <f>IF(AU200=3,G200,0)</f>
        <v>0</v>
      </c>
      <c r="AY200" s="229">
        <f>IF(AU200=4,G200,0)</f>
        <v>0</v>
      </c>
      <c r="AZ200" s="229">
        <f>IF(AU200=5,G200,0)</f>
        <v>0</v>
      </c>
      <c r="BV200" s="235">
        <v>2</v>
      </c>
      <c r="BW200" s="235">
        <v>1</v>
      </c>
      <c r="CU200" s="229">
        <v>6.0929999999999998E-2</v>
      </c>
    </row>
    <row r="201" spans="1:99" ht="12.75" customHeight="1" x14ac:dyDescent="0.2">
      <c r="A201" s="455">
        <v>42</v>
      </c>
      <c r="B201" s="456" t="s">
        <v>939</v>
      </c>
      <c r="C201" s="457" t="s">
        <v>940</v>
      </c>
      <c r="D201" s="458" t="s">
        <v>79</v>
      </c>
      <c r="E201" s="459">
        <v>1</v>
      </c>
      <c r="F201" s="459"/>
      <c r="G201" s="486">
        <f>E201*F201</f>
        <v>0</v>
      </c>
      <c r="H201" s="464" t="s">
        <v>718</v>
      </c>
      <c r="J201" s="235"/>
    </row>
    <row r="202" spans="1:99" x14ac:dyDescent="0.2">
      <c r="A202" s="455">
        <v>43</v>
      </c>
      <c r="B202" s="456" t="s">
        <v>709</v>
      </c>
      <c r="C202" s="457" t="s">
        <v>710</v>
      </c>
      <c r="D202" s="458" t="s">
        <v>25</v>
      </c>
      <c r="E202" s="459">
        <v>473.5</v>
      </c>
      <c r="F202" s="459"/>
      <c r="G202" s="486">
        <f>E202*F202</f>
        <v>0</v>
      </c>
      <c r="J202" s="235">
        <v>2</v>
      </c>
      <c r="V202" s="229">
        <v>2</v>
      </c>
      <c r="W202" s="229">
        <v>1</v>
      </c>
      <c r="X202" s="229">
        <v>1</v>
      </c>
      <c r="AU202" s="229">
        <v>1</v>
      </c>
      <c r="AV202" s="229">
        <f>IF(AU202=1,G202,0)</f>
        <v>0</v>
      </c>
      <c r="AW202" s="229">
        <f>IF(AU202=2,G202,0)</f>
        <v>0</v>
      </c>
      <c r="AX202" s="229">
        <f>IF(AU202=3,G202,0)</f>
        <v>0</v>
      </c>
      <c r="AY202" s="229">
        <f>IF(AU202=4,G202,0)</f>
        <v>0</v>
      </c>
      <c r="AZ202" s="229">
        <f>IF(AU202=5,G202,0)</f>
        <v>0</v>
      </c>
      <c r="BV202" s="235">
        <v>2</v>
      </c>
      <c r="BW202" s="235">
        <v>1</v>
      </c>
      <c r="CU202" s="229">
        <v>6.5920000000000006E-2</v>
      </c>
    </row>
    <row r="203" spans="1:99" ht="12.75" customHeight="1" x14ac:dyDescent="0.2">
      <c r="A203" s="455">
        <v>44</v>
      </c>
      <c r="B203" s="456" t="s">
        <v>713</v>
      </c>
      <c r="C203" s="457" t="s">
        <v>714</v>
      </c>
      <c r="D203" s="458" t="s">
        <v>168</v>
      </c>
      <c r="E203" s="459">
        <v>3</v>
      </c>
      <c r="F203" s="459"/>
      <c r="G203" s="486">
        <f>E203*F203</f>
        <v>0</v>
      </c>
      <c r="H203" s="464" t="s">
        <v>719</v>
      </c>
      <c r="J203" s="235"/>
    </row>
    <row r="204" spans="1:99" x14ac:dyDescent="0.2">
      <c r="A204" s="460"/>
      <c r="B204" s="461"/>
      <c r="C204" s="522" t="s">
        <v>941</v>
      </c>
      <c r="D204" s="522"/>
      <c r="E204" s="462">
        <v>3</v>
      </c>
      <c r="F204" s="463"/>
      <c r="G204" s="505"/>
      <c r="J204" s="235">
        <v>2</v>
      </c>
      <c r="V204" s="229">
        <v>2</v>
      </c>
      <c r="W204" s="229">
        <v>1</v>
      </c>
      <c r="X204" s="229">
        <v>1</v>
      </c>
      <c r="AU204" s="229">
        <v>1</v>
      </c>
      <c r="AV204" s="229">
        <f>IF(AU204=1,G204,0)</f>
        <v>0</v>
      </c>
      <c r="AW204" s="229">
        <f>IF(AU204=2,G204,0)</f>
        <v>0</v>
      </c>
      <c r="AX204" s="229">
        <f>IF(AU204=3,G204,0)</f>
        <v>0</v>
      </c>
      <c r="AY204" s="229">
        <f>IF(AU204=4,G204,0)</f>
        <v>0</v>
      </c>
      <c r="AZ204" s="229">
        <f>IF(AU204=5,G204,0)</f>
        <v>0</v>
      </c>
      <c r="BV204" s="235">
        <v>2</v>
      </c>
      <c r="BW204" s="235">
        <v>1</v>
      </c>
      <c r="CU204" s="229">
        <v>6.6720000000000002E-2</v>
      </c>
    </row>
    <row r="205" spans="1:99" ht="12.75" customHeight="1" x14ac:dyDescent="0.2">
      <c r="A205" s="455">
        <v>45</v>
      </c>
      <c r="B205" s="456" t="s">
        <v>716</v>
      </c>
      <c r="C205" s="457" t="s">
        <v>717</v>
      </c>
      <c r="D205" s="458" t="s">
        <v>168</v>
      </c>
      <c r="E205" s="459">
        <v>4</v>
      </c>
      <c r="F205" s="459"/>
      <c r="G205" s="486">
        <f>E205*F205</f>
        <v>0</v>
      </c>
      <c r="H205" s="464" t="s">
        <v>722</v>
      </c>
      <c r="J205" s="235"/>
    </row>
    <row r="206" spans="1:99" x14ac:dyDescent="0.2">
      <c r="A206" s="460"/>
      <c r="B206" s="461"/>
      <c r="C206" s="522" t="s">
        <v>942</v>
      </c>
      <c r="D206" s="522"/>
      <c r="E206" s="462">
        <v>4</v>
      </c>
      <c r="F206" s="463"/>
      <c r="G206" s="505"/>
      <c r="J206" s="235">
        <v>2</v>
      </c>
      <c r="V206" s="229">
        <v>2</v>
      </c>
      <c r="W206" s="229">
        <v>1</v>
      </c>
      <c r="X206" s="229">
        <v>1</v>
      </c>
      <c r="AU206" s="229">
        <v>1</v>
      </c>
      <c r="AV206" s="229">
        <f>IF(AU206=1,G206,0)</f>
        <v>0</v>
      </c>
      <c r="AW206" s="229">
        <f>IF(AU206=2,G206,0)</f>
        <v>0</v>
      </c>
      <c r="AX206" s="229">
        <f>IF(AU206=3,G206,0)</f>
        <v>0</v>
      </c>
      <c r="AY206" s="229">
        <f>IF(AU206=4,G206,0)</f>
        <v>0</v>
      </c>
      <c r="AZ206" s="229">
        <f>IF(AU206=5,G206,0)</f>
        <v>0</v>
      </c>
      <c r="BV206" s="235">
        <v>2</v>
      </c>
      <c r="BW206" s="235">
        <v>1</v>
      </c>
      <c r="CU206" s="229">
        <v>7.1830000000000005E-2</v>
      </c>
    </row>
    <row r="207" spans="1:99" ht="12.75" customHeight="1" x14ac:dyDescent="0.2">
      <c r="A207" s="455">
        <v>46</v>
      </c>
      <c r="B207" s="456" t="s">
        <v>943</v>
      </c>
      <c r="C207" s="457" t="s">
        <v>944</v>
      </c>
      <c r="D207" s="458" t="s">
        <v>168</v>
      </c>
      <c r="E207" s="459">
        <v>2</v>
      </c>
      <c r="F207" s="459"/>
      <c r="G207" s="486">
        <f>E207*F207</f>
        <v>0</v>
      </c>
      <c r="H207" s="464" t="s">
        <v>723</v>
      </c>
      <c r="J207" s="235"/>
    </row>
    <row r="208" spans="1:99" x14ac:dyDescent="0.2">
      <c r="A208" s="460"/>
      <c r="B208" s="461"/>
      <c r="C208" s="522" t="s">
        <v>945</v>
      </c>
      <c r="D208" s="522"/>
      <c r="E208" s="462">
        <v>2</v>
      </c>
      <c r="F208" s="463"/>
      <c r="G208" s="505"/>
      <c r="J208" s="235">
        <v>2</v>
      </c>
      <c r="V208" s="229">
        <v>3</v>
      </c>
      <c r="W208" s="229">
        <v>1</v>
      </c>
      <c r="X208" s="229">
        <v>28611001</v>
      </c>
      <c r="AU208" s="229">
        <v>1</v>
      </c>
      <c r="AV208" s="229">
        <f>IF(AU208=1,G208,0)</f>
        <v>0</v>
      </c>
      <c r="AW208" s="229">
        <f>IF(AU208=2,G208,0)</f>
        <v>0</v>
      </c>
      <c r="AX208" s="229">
        <f>IF(AU208=3,G208,0)</f>
        <v>0</v>
      </c>
      <c r="AY208" s="229">
        <f>IF(AU208=4,G208,0)</f>
        <v>0</v>
      </c>
      <c r="AZ208" s="229">
        <f>IF(AU208=5,G208,0)</f>
        <v>0</v>
      </c>
      <c r="BV208" s="235">
        <v>3</v>
      </c>
      <c r="BW208" s="235">
        <v>1</v>
      </c>
      <c r="CU208" s="229">
        <v>1.5E-3</v>
      </c>
    </row>
    <row r="209" spans="1:99" ht="12.75" customHeight="1" x14ac:dyDescent="0.2">
      <c r="A209" s="455">
        <v>47</v>
      </c>
      <c r="B209" s="456" t="s">
        <v>720</v>
      </c>
      <c r="C209" s="457" t="s">
        <v>721</v>
      </c>
      <c r="D209" s="458" t="s">
        <v>168</v>
      </c>
      <c r="E209" s="459">
        <v>3</v>
      </c>
      <c r="F209" s="459"/>
      <c r="G209" s="486">
        <f>E209*F209</f>
        <v>0</v>
      </c>
      <c r="H209" s="464" t="s">
        <v>726</v>
      </c>
      <c r="J209" s="235"/>
    </row>
    <row r="210" spans="1:99" x14ac:dyDescent="0.2">
      <c r="A210" s="460"/>
      <c r="B210" s="461"/>
      <c r="C210" s="522" t="s">
        <v>946</v>
      </c>
      <c r="D210" s="522"/>
      <c r="E210" s="462">
        <v>3</v>
      </c>
      <c r="F210" s="463"/>
      <c r="G210" s="505"/>
      <c r="J210" s="235">
        <v>2</v>
      </c>
      <c r="V210" s="229">
        <v>3</v>
      </c>
      <c r="W210" s="229">
        <v>1</v>
      </c>
      <c r="X210" s="229">
        <v>28611002</v>
      </c>
      <c r="AU210" s="229">
        <v>1</v>
      </c>
      <c r="AV210" s="229">
        <f>IF(AU210=1,G210,0)</f>
        <v>0</v>
      </c>
      <c r="AW210" s="229">
        <f>IF(AU210=2,G210,0)</f>
        <v>0</v>
      </c>
      <c r="AX210" s="229">
        <f>IF(AU210=3,G210,0)</f>
        <v>0</v>
      </c>
      <c r="AY210" s="229">
        <f>IF(AU210=4,G210,0)</f>
        <v>0</v>
      </c>
      <c r="AZ210" s="229">
        <f>IF(AU210=5,G210,0)</f>
        <v>0</v>
      </c>
      <c r="BV210" s="235">
        <v>3</v>
      </c>
      <c r="BW210" s="235">
        <v>1</v>
      </c>
      <c r="CU210" s="229">
        <v>1.6999999999999999E-3</v>
      </c>
    </row>
    <row r="211" spans="1:99" ht="12.75" customHeight="1" x14ac:dyDescent="0.2">
      <c r="A211" s="455">
        <v>48</v>
      </c>
      <c r="B211" s="456" t="s">
        <v>724</v>
      </c>
      <c r="C211" s="457" t="s">
        <v>725</v>
      </c>
      <c r="D211" s="458" t="s">
        <v>25</v>
      </c>
      <c r="E211" s="459">
        <v>45.776499999999999</v>
      </c>
      <c r="F211" s="459"/>
      <c r="G211" s="486">
        <f>E211*F211</f>
        <v>0</v>
      </c>
      <c r="H211" s="464" t="s">
        <v>729</v>
      </c>
      <c r="J211" s="235"/>
    </row>
    <row r="212" spans="1:99" x14ac:dyDescent="0.2">
      <c r="A212" s="460"/>
      <c r="B212" s="461"/>
      <c r="C212" s="522" t="s">
        <v>947</v>
      </c>
      <c r="D212" s="522"/>
      <c r="E212" s="462">
        <v>45.776499999999999</v>
      </c>
      <c r="F212" s="463"/>
      <c r="G212" s="505"/>
      <c r="J212" s="235">
        <v>2</v>
      </c>
      <c r="V212" s="229">
        <v>3</v>
      </c>
      <c r="W212" s="229">
        <v>1</v>
      </c>
      <c r="X212" s="229">
        <v>28611003</v>
      </c>
      <c r="AU212" s="229">
        <v>1</v>
      </c>
      <c r="AV212" s="229">
        <f>IF(AU212=1,G212,0)</f>
        <v>0</v>
      </c>
      <c r="AW212" s="229">
        <f>IF(AU212=2,G212,0)</f>
        <v>0</v>
      </c>
      <c r="AX212" s="229">
        <f>IF(AU212=3,G212,0)</f>
        <v>0</v>
      </c>
      <c r="AY212" s="229">
        <f>IF(AU212=4,G212,0)</f>
        <v>0</v>
      </c>
      <c r="AZ212" s="229">
        <f>IF(AU212=5,G212,0)</f>
        <v>0</v>
      </c>
      <c r="BV212" s="235">
        <v>3</v>
      </c>
      <c r="BW212" s="235">
        <v>1</v>
      </c>
      <c r="CU212" s="229">
        <v>3.2000000000000002E-3</v>
      </c>
    </row>
    <row r="213" spans="1:99" ht="12.75" customHeight="1" x14ac:dyDescent="0.2">
      <c r="A213" s="455">
        <v>49</v>
      </c>
      <c r="B213" s="456" t="s">
        <v>727</v>
      </c>
      <c r="C213" s="457" t="s">
        <v>728</v>
      </c>
      <c r="D213" s="458" t="s">
        <v>25</v>
      </c>
      <c r="E213" s="459">
        <v>62.93</v>
      </c>
      <c r="F213" s="459"/>
      <c r="G213" s="486">
        <f>E213*F213</f>
        <v>0</v>
      </c>
      <c r="H213" s="464" t="s">
        <v>732</v>
      </c>
      <c r="J213" s="235"/>
    </row>
    <row r="214" spans="1:99" x14ac:dyDescent="0.2">
      <c r="A214" s="460"/>
      <c r="B214" s="461"/>
      <c r="C214" s="522" t="s">
        <v>948</v>
      </c>
      <c r="D214" s="522"/>
      <c r="E214" s="462">
        <v>62.93</v>
      </c>
      <c r="F214" s="463"/>
      <c r="G214" s="505"/>
      <c r="J214" s="235">
        <v>2</v>
      </c>
      <c r="V214" s="229">
        <v>3</v>
      </c>
      <c r="W214" s="229">
        <v>1</v>
      </c>
      <c r="X214" s="229">
        <v>28611005</v>
      </c>
      <c r="AU214" s="229">
        <v>1</v>
      </c>
      <c r="AV214" s="229">
        <f>IF(AU214=1,G214,0)</f>
        <v>0</v>
      </c>
      <c r="AW214" s="229">
        <f>IF(AU214=2,G214,0)</f>
        <v>0</v>
      </c>
      <c r="AX214" s="229">
        <f>IF(AU214=3,G214,0)</f>
        <v>0</v>
      </c>
      <c r="AY214" s="229">
        <f>IF(AU214=4,G214,0)</f>
        <v>0</v>
      </c>
      <c r="AZ214" s="229">
        <f>IF(AU214=5,G214,0)</f>
        <v>0</v>
      </c>
      <c r="BV214" s="235">
        <v>3</v>
      </c>
      <c r="BW214" s="235">
        <v>1</v>
      </c>
      <c r="CU214" s="229">
        <v>4.1999999999999997E-3</v>
      </c>
    </row>
    <row r="215" spans="1:99" ht="12.75" customHeight="1" x14ac:dyDescent="0.2">
      <c r="A215" s="455">
        <v>50</v>
      </c>
      <c r="B215" s="456" t="s">
        <v>730</v>
      </c>
      <c r="C215" s="457" t="s">
        <v>731</v>
      </c>
      <c r="D215" s="458" t="s">
        <v>25</v>
      </c>
      <c r="E215" s="459">
        <v>135.40100000000001</v>
      </c>
      <c r="F215" s="459"/>
      <c r="G215" s="486">
        <f>E215*F215</f>
        <v>0</v>
      </c>
      <c r="H215" s="464" t="s">
        <v>735</v>
      </c>
      <c r="J215" s="235"/>
    </row>
    <row r="216" spans="1:99" x14ac:dyDescent="0.2">
      <c r="A216" s="460"/>
      <c r="B216" s="461"/>
      <c r="C216" s="522" t="s">
        <v>949</v>
      </c>
      <c r="D216" s="522"/>
      <c r="E216" s="462">
        <v>135.40100000000001</v>
      </c>
      <c r="F216" s="463"/>
      <c r="G216" s="505"/>
      <c r="J216" s="235">
        <v>2</v>
      </c>
      <c r="V216" s="229">
        <v>3</v>
      </c>
      <c r="W216" s="229">
        <v>1</v>
      </c>
      <c r="X216" s="229">
        <v>28611006</v>
      </c>
      <c r="AU216" s="229">
        <v>1</v>
      </c>
      <c r="AV216" s="229">
        <f>IF(AU216=1,G216,0)</f>
        <v>0</v>
      </c>
      <c r="AW216" s="229">
        <f>IF(AU216=2,G216,0)</f>
        <v>0</v>
      </c>
      <c r="AX216" s="229">
        <f>IF(AU216=3,G216,0)</f>
        <v>0</v>
      </c>
      <c r="AY216" s="229">
        <f>IF(AU216=4,G216,0)</f>
        <v>0</v>
      </c>
      <c r="AZ216" s="229">
        <f>IF(AU216=5,G216,0)</f>
        <v>0</v>
      </c>
      <c r="BV216" s="235">
        <v>3</v>
      </c>
      <c r="BW216" s="235">
        <v>1</v>
      </c>
      <c r="CU216" s="229">
        <v>7.1999999999999998E-3</v>
      </c>
    </row>
    <row r="217" spans="1:99" ht="12.75" customHeight="1" x14ac:dyDescent="0.2">
      <c r="A217" s="455">
        <v>51</v>
      </c>
      <c r="B217" s="456" t="s">
        <v>733</v>
      </c>
      <c r="C217" s="457" t="s">
        <v>734</v>
      </c>
      <c r="D217" s="458" t="s">
        <v>25</v>
      </c>
      <c r="E217" s="459">
        <v>142.506</v>
      </c>
      <c r="F217" s="459"/>
      <c r="G217" s="486">
        <f>E217*F217</f>
        <v>0</v>
      </c>
      <c r="H217" s="464" t="s">
        <v>738</v>
      </c>
      <c r="J217" s="235"/>
    </row>
    <row r="218" spans="1:99" x14ac:dyDescent="0.2">
      <c r="A218" s="460"/>
      <c r="B218" s="461"/>
      <c r="C218" s="522" t="s">
        <v>950</v>
      </c>
      <c r="D218" s="522"/>
      <c r="E218" s="462">
        <v>142.506</v>
      </c>
      <c r="F218" s="463"/>
      <c r="G218" s="505"/>
      <c r="J218" s="235">
        <v>2</v>
      </c>
      <c r="V218" s="229">
        <v>3</v>
      </c>
      <c r="W218" s="229">
        <v>1</v>
      </c>
      <c r="X218" s="229" t="s">
        <v>739</v>
      </c>
      <c r="AU218" s="229">
        <v>1</v>
      </c>
      <c r="AV218" s="229">
        <f>IF(AU218=1,G218,0)</f>
        <v>0</v>
      </c>
      <c r="AW218" s="229">
        <f>IF(AU218=2,G218,0)</f>
        <v>0</v>
      </c>
      <c r="AX218" s="229">
        <f>IF(AU218=3,G218,0)</f>
        <v>0</v>
      </c>
      <c r="AY218" s="229">
        <f>IF(AU218=4,G218,0)</f>
        <v>0</v>
      </c>
      <c r="AZ218" s="229">
        <f>IF(AU218=5,G218,0)</f>
        <v>0</v>
      </c>
      <c r="BV218" s="235">
        <v>3</v>
      </c>
      <c r="BW218" s="235">
        <v>1</v>
      </c>
      <c r="CU218" s="229">
        <v>4.8000000000000001E-4</v>
      </c>
    </row>
    <row r="219" spans="1:99" ht="12.75" customHeight="1" x14ac:dyDescent="0.2">
      <c r="A219" s="455">
        <v>52</v>
      </c>
      <c r="B219" s="456" t="s">
        <v>736</v>
      </c>
      <c r="C219" s="457" t="s">
        <v>737</v>
      </c>
      <c r="D219" s="458" t="s">
        <v>25</v>
      </c>
      <c r="E219" s="459">
        <v>92.060500000000005</v>
      </c>
      <c r="F219" s="459"/>
      <c r="G219" s="486">
        <f>E219*F219</f>
        <v>0</v>
      </c>
      <c r="H219" s="464" t="s">
        <v>740</v>
      </c>
      <c r="J219" s="235"/>
    </row>
    <row r="220" spans="1:99" x14ac:dyDescent="0.2">
      <c r="A220" s="460"/>
      <c r="B220" s="461"/>
      <c r="C220" s="522" t="s">
        <v>951</v>
      </c>
      <c r="D220" s="522"/>
      <c r="E220" s="462">
        <v>92.060500000000005</v>
      </c>
      <c r="F220" s="463"/>
      <c r="G220" s="505"/>
      <c r="J220" s="235">
        <v>2</v>
      </c>
      <c r="V220" s="229">
        <v>3</v>
      </c>
      <c r="W220" s="229">
        <v>1</v>
      </c>
      <c r="X220" s="229">
        <v>28652001</v>
      </c>
      <c r="AU220" s="229">
        <v>1</v>
      </c>
      <c r="AV220" s="229">
        <f t="shared" ref="AV220:AV235" si="0">IF(AU220=1,G220,0)</f>
        <v>0</v>
      </c>
      <c r="AW220" s="229">
        <f t="shared" ref="AW220:AW235" si="1">IF(AU220=2,G220,0)</f>
        <v>0</v>
      </c>
      <c r="AX220" s="229">
        <f t="shared" ref="AX220:AX235" si="2">IF(AU220=3,G220,0)</f>
        <v>0</v>
      </c>
      <c r="AY220" s="229">
        <f t="shared" ref="AY220:AY235" si="3">IF(AU220=4,G220,0)</f>
        <v>0</v>
      </c>
      <c r="AZ220" s="229">
        <f t="shared" ref="AZ220:AZ235" si="4">IF(AU220=5,G220,0)</f>
        <v>0</v>
      </c>
      <c r="BV220" s="235">
        <v>3</v>
      </c>
      <c r="BW220" s="235">
        <v>1</v>
      </c>
      <c r="CU220" s="229">
        <v>2.9E-4</v>
      </c>
    </row>
    <row r="221" spans="1:99" x14ac:dyDescent="0.2">
      <c r="A221" s="455">
        <v>53</v>
      </c>
      <c r="B221" s="456" t="s">
        <v>741</v>
      </c>
      <c r="C221" s="457" t="s">
        <v>742</v>
      </c>
      <c r="D221" s="458" t="s">
        <v>168</v>
      </c>
      <c r="E221" s="459">
        <v>60</v>
      </c>
      <c r="F221" s="459"/>
      <c r="G221" s="486">
        <f t="shared" ref="G221:G231" si="5">E221*F221</f>
        <v>0</v>
      </c>
      <c r="J221" s="235">
        <v>2</v>
      </c>
      <c r="V221" s="229">
        <v>3</v>
      </c>
      <c r="W221" s="229">
        <v>1</v>
      </c>
      <c r="X221" s="229">
        <v>28652002</v>
      </c>
      <c r="AU221" s="229">
        <v>1</v>
      </c>
      <c r="AV221" s="229">
        <f t="shared" si="0"/>
        <v>0</v>
      </c>
      <c r="AW221" s="229">
        <f t="shared" si="1"/>
        <v>0</v>
      </c>
      <c r="AX221" s="229">
        <f t="shared" si="2"/>
        <v>0</v>
      </c>
      <c r="AY221" s="229">
        <f t="shared" si="3"/>
        <v>0</v>
      </c>
      <c r="AZ221" s="229">
        <f t="shared" si="4"/>
        <v>0</v>
      </c>
      <c r="BV221" s="235">
        <v>3</v>
      </c>
      <c r="BW221" s="235">
        <v>1</v>
      </c>
      <c r="CU221" s="229">
        <v>3.8000000000000002E-4</v>
      </c>
    </row>
    <row r="222" spans="1:99" x14ac:dyDescent="0.2">
      <c r="A222" s="455">
        <v>54</v>
      </c>
      <c r="B222" s="456" t="s">
        <v>743</v>
      </c>
      <c r="C222" s="457" t="s">
        <v>744</v>
      </c>
      <c r="D222" s="458" t="s">
        <v>168</v>
      </c>
      <c r="E222" s="459">
        <v>5</v>
      </c>
      <c r="F222" s="459"/>
      <c r="G222" s="486">
        <f t="shared" si="5"/>
        <v>0</v>
      </c>
      <c r="J222" s="235">
        <v>2</v>
      </c>
      <c r="V222" s="229">
        <v>3</v>
      </c>
      <c r="W222" s="229">
        <v>1</v>
      </c>
      <c r="X222" s="229">
        <v>28652003</v>
      </c>
      <c r="AU222" s="229">
        <v>1</v>
      </c>
      <c r="AV222" s="229">
        <f t="shared" si="0"/>
        <v>0</v>
      </c>
      <c r="AW222" s="229">
        <f t="shared" si="1"/>
        <v>0</v>
      </c>
      <c r="AX222" s="229">
        <f t="shared" si="2"/>
        <v>0</v>
      </c>
      <c r="AY222" s="229">
        <f t="shared" si="3"/>
        <v>0</v>
      </c>
      <c r="AZ222" s="229">
        <f t="shared" si="4"/>
        <v>0</v>
      </c>
      <c r="BV222" s="235">
        <v>3</v>
      </c>
      <c r="BW222" s="235">
        <v>1</v>
      </c>
      <c r="CU222" s="229">
        <v>3.8000000000000002E-4</v>
      </c>
    </row>
    <row r="223" spans="1:99" x14ac:dyDescent="0.2">
      <c r="A223" s="455">
        <v>55</v>
      </c>
      <c r="B223" s="456" t="s">
        <v>745</v>
      </c>
      <c r="C223" s="457" t="s">
        <v>746</v>
      </c>
      <c r="D223" s="458" t="s">
        <v>168</v>
      </c>
      <c r="E223" s="459">
        <v>1</v>
      </c>
      <c r="F223" s="459"/>
      <c r="G223" s="486">
        <f t="shared" si="5"/>
        <v>0</v>
      </c>
      <c r="J223" s="235">
        <v>2</v>
      </c>
      <c r="V223" s="229">
        <v>3</v>
      </c>
      <c r="W223" s="229">
        <v>1</v>
      </c>
      <c r="X223" s="229">
        <v>28652004</v>
      </c>
      <c r="AU223" s="229">
        <v>1</v>
      </c>
      <c r="AV223" s="229">
        <f t="shared" si="0"/>
        <v>0</v>
      </c>
      <c r="AW223" s="229">
        <f t="shared" si="1"/>
        <v>0</v>
      </c>
      <c r="AX223" s="229">
        <f t="shared" si="2"/>
        <v>0</v>
      </c>
      <c r="AY223" s="229">
        <f t="shared" si="3"/>
        <v>0</v>
      </c>
      <c r="AZ223" s="229">
        <f t="shared" si="4"/>
        <v>0</v>
      </c>
      <c r="BV223" s="235">
        <v>3</v>
      </c>
      <c r="BW223" s="235">
        <v>1</v>
      </c>
      <c r="CU223" s="229">
        <v>3.8000000000000002E-4</v>
      </c>
    </row>
    <row r="224" spans="1:99" x14ac:dyDescent="0.2">
      <c r="A224" s="455">
        <v>56</v>
      </c>
      <c r="B224" s="456" t="s">
        <v>747</v>
      </c>
      <c r="C224" s="457" t="s">
        <v>748</v>
      </c>
      <c r="D224" s="458" t="s">
        <v>168</v>
      </c>
      <c r="E224" s="459">
        <v>5</v>
      </c>
      <c r="F224" s="459"/>
      <c r="G224" s="486">
        <f t="shared" si="5"/>
        <v>0</v>
      </c>
      <c r="J224" s="235">
        <v>2</v>
      </c>
      <c r="V224" s="229">
        <v>3</v>
      </c>
      <c r="W224" s="229">
        <v>1</v>
      </c>
      <c r="X224" s="229">
        <v>28652005</v>
      </c>
      <c r="AU224" s="229">
        <v>1</v>
      </c>
      <c r="AV224" s="229">
        <f t="shared" si="0"/>
        <v>0</v>
      </c>
      <c r="AW224" s="229">
        <f t="shared" si="1"/>
        <v>0</v>
      </c>
      <c r="AX224" s="229">
        <f t="shared" si="2"/>
        <v>0</v>
      </c>
      <c r="AY224" s="229">
        <f t="shared" si="3"/>
        <v>0</v>
      </c>
      <c r="AZ224" s="229">
        <f t="shared" si="4"/>
        <v>0</v>
      </c>
      <c r="BV224" s="235">
        <v>3</v>
      </c>
      <c r="BW224" s="235">
        <v>1</v>
      </c>
      <c r="CU224" s="229">
        <v>1E-3</v>
      </c>
    </row>
    <row r="225" spans="1:99" x14ac:dyDescent="0.2">
      <c r="A225" s="455">
        <v>57</v>
      </c>
      <c r="B225" s="456" t="s">
        <v>749</v>
      </c>
      <c r="C225" s="457" t="s">
        <v>952</v>
      </c>
      <c r="D225" s="458" t="s">
        <v>168</v>
      </c>
      <c r="E225" s="459">
        <v>1</v>
      </c>
      <c r="F225" s="459"/>
      <c r="G225" s="486">
        <f t="shared" si="5"/>
        <v>0</v>
      </c>
      <c r="J225" s="235">
        <v>2</v>
      </c>
      <c r="V225" s="229">
        <v>3</v>
      </c>
      <c r="W225" s="229">
        <v>1</v>
      </c>
      <c r="X225" s="229">
        <v>28652006</v>
      </c>
      <c r="AU225" s="229">
        <v>1</v>
      </c>
      <c r="AV225" s="229">
        <f t="shared" si="0"/>
        <v>0</v>
      </c>
      <c r="AW225" s="229">
        <f t="shared" si="1"/>
        <v>0</v>
      </c>
      <c r="AX225" s="229">
        <f t="shared" si="2"/>
        <v>0</v>
      </c>
      <c r="AY225" s="229">
        <f t="shared" si="3"/>
        <v>0</v>
      </c>
      <c r="AZ225" s="229">
        <f t="shared" si="4"/>
        <v>0</v>
      </c>
      <c r="BV225" s="235">
        <v>3</v>
      </c>
      <c r="BW225" s="235">
        <v>1</v>
      </c>
      <c r="CU225" s="229">
        <v>2.7000000000000001E-3</v>
      </c>
    </row>
    <row r="226" spans="1:99" x14ac:dyDescent="0.2">
      <c r="A226" s="455">
        <v>58</v>
      </c>
      <c r="B226" s="456" t="s">
        <v>750</v>
      </c>
      <c r="C226" s="457" t="s">
        <v>751</v>
      </c>
      <c r="D226" s="458" t="s">
        <v>168</v>
      </c>
      <c r="E226" s="459">
        <v>2</v>
      </c>
      <c r="F226" s="459"/>
      <c r="G226" s="486">
        <f t="shared" si="5"/>
        <v>0</v>
      </c>
      <c r="J226" s="235">
        <v>2</v>
      </c>
      <c r="V226" s="229">
        <v>3</v>
      </c>
      <c r="W226" s="229">
        <v>1</v>
      </c>
      <c r="X226" s="229">
        <v>28652007</v>
      </c>
      <c r="AU226" s="229">
        <v>1</v>
      </c>
      <c r="AV226" s="229">
        <f t="shared" si="0"/>
        <v>0</v>
      </c>
      <c r="AW226" s="229">
        <f t="shared" si="1"/>
        <v>0</v>
      </c>
      <c r="AX226" s="229">
        <f t="shared" si="2"/>
        <v>0</v>
      </c>
      <c r="AY226" s="229">
        <f t="shared" si="3"/>
        <v>0</v>
      </c>
      <c r="AZ226" s="229">
        <f t="shared" si="4"/>
        <v>0</v>
      </c>
      <c r="BV226" s="235">
        <v>3</v>
      </c>
      <c r="BW226" s="235">
        <v>1</v>
      </c>
      <c r="CU226" s="229">
        <v>2.7000000000000001E-3</v>
      </c>
    </row>
    <row r="227" spans="1:99" x14ac:dyDescent="0.2">
      <c r="A227" s="455">
        <v>59</v>
      </c>
      <c r="B227" s="456" t="s">
        <v>752</v>
      </c>
      <c r="C227" s="457" t="s">
        <v>753</v>
      </c>
      <c r="D227" s="458" t="s">
        <v>168</v>
      </c>
      <c r="E227" s="459">
        <v>1</v>
      </c>
      <c r="F227" s="459"/>
      <c r="G227" s="486">
        <f t="shared" si="5"/>
        <v>0</v>
      </c>
      <c r="J227" s="235">
        <v>2</v>
      </c>
      <c r="V227" s="229">
        <v>3</v>
      </c>
      <c r="W227" s="229">
        <v>1</v>
      </c>
      <c r="X227" s="229">
        <v>28652008</v>
      </c>
      <c r="AU227" s="229">
        <v>1</v>
      </c>
      <c r="AV227" s="229">
        <f t="shared" si="0"/>
        <v>0</v>
      </c>
      <c r="AW227" s="229">
        <f t="shared" si="1"/>
        <v>0</v>
      </c>
      <c r="AX227" s="229">
        <f t="shared" si="2"/>
        <v>0</v>
      </c>
      <c r="AY227" s="229">
        <f t="shared" si="3"/>
        <v>0</v>
      </c>
      <c r="AZ227" s="229">
        <f t="shared" si="4"/>
        <v>0</v>
      </c>
      <c r="BV227" s="235">
        <v>3</v>
      </c>
      <c r="BW227" s="235">
        <v>1</v>
      </c>
      <c r="CU227" s="229">
        <v>2.7999999999999998E-4</v>
      </c>
    </row>
    <row r="228" spans="1:99" x14ac:dyDescent="0.2">
      <c r="A228" s="455">
        <v>60</v>
      </c>
      <c r="B228" s="456" t="s">
        <v>754</v>
      </c>
      <c r="C228" s="457" t="s">
        <v>755</v>
      </c>
      <c r="D228" s="458" t="s">
        <v>168</v>
      </c>
      <c r="E228" s="459">
        <v>9</v>
      </c>
      <c r="F228" s="459"/>
      <c r="G228" s="486">
        <f t="shared" si="5"/>
        <v>0</v>
      </c>
      <c r="J228" s="235">
        <v>2</v>
      </c>
      <c r="V228" s="229">
        <v>3</v>
      </c>
      <c r="W228" s="229">
        <v>1</v>
      </c>
      <c r="X228" s="229">
        <v>28652009</v>
      </c>
      <c r="AU228" s="229">
        <v>1</v>
      </c>
      <c r="AV228" s="229">
        <f t="shared" si="0"/>
        <v>0</v>
      </c>
      <c r="AW228" s="229">
        <f t="shared" si="1"/>
        <v>0</v>
      </c>
      <c r="AX228" s="229">
        <f t="shared" si="2"/>
        <v>0</v>
      </c>
      <c r="AY228" s="229">
        <f t="shared" si="3"/>
        <v>0</v>
      </c>
      <c r="AZ228" s="229">
        <f t="shared" si="4"/>
        <v>0</v>
      </c>
      <c r="BV228" s="235">
        <v>3</v>
      </c>
      <c r="BW228" s="235">
        <v>1</v>
      </c>
      <c r="CU228" s="229">
        <v>4.2000000000000002E-4</v>
      </c>
    </row>
    <row r="229" spans="1:99" x14ac:dyDescent="0.2">
      <c r="A229" s="455">
        <v>61</v>
      </c>
      <c r="B229" s="456" t="s">
        <v>756</v>
      </c>
      <c r="C229" s="457" t="s">
        <v>757</v>
      </c>
      <c r="D229" s="458" t="s">
        <v>168</v>
      </c>
      <c r="E229" s="459">
        <v>6</v>
      </c>
      <c r="F229" s="459"/>
      <c r="G229" s="486">
        <f t="shared" si="5"/>
        <v>0</v>
      </c>
      <c r="J229" s="235">
        <v>2</v>
      </c>
      <c r="V229" s="229">
        <v>3</v>
      </c>
      <c r="W229" s="229">
        <v>1</v>
      </c>
      <c r="X229" s="229">
        <v>28652010</v>
      </c>
      <c r="AU229" s="229">
        <v>1</v>
      </c>
      <c r="AV229" s="229">
        <f t="shared" si="0"/>
        <v>0</v>
      </c>
      <c r="AW229" s="229">
        <f t="shared" si="1"/>
        <v>0</v>
      </c>
      <c r="AX229" s="229">
        <f t="shared" si="2"/>
        <v>0</v>
      </c>
      <c r="AY229" s="229">
        <f t="shared" si="3"/>
        <v>0</v>
      </c>
      <c r="AZ229" s="229">
        <f t="shared" si="4"/>
        <v>0</v>
      </c>
      <c r="BV229" s="235">
        <v>3</v>
      </c>
      <c r="BW229" s="235">
        <v>1</v>
      </c>
      <c r="CU229" s="229">
        <v>4.8000000000000001E-4</v>
      </c>
    </row>
    <row r="230" spans="1:99" x14ac:dyDescent="0.2">
      <c r="A230" s="455">
        <v>62</v>
      </c>
      <c r="B230" s="456" t="s">
        <v>953</v>
      </c>
      <c r="C230" s="457" t="s">
        <v>954</v>
      </c>
      <c r="D230" s="458" t="s">
        <v>168</v>
      </c>
      <c r="E230" s="459">
        <v>3</v>
      </c>
      <c r="F230" s="459"/>
      <c r="G230" s="486">
        <f t="shared" si="5"/>
        <v>0</v>
      </c>
      <c r="J230" s="235">
        <v>2</v>
      </c>
      <c r="V230" s="229">
        <v>3</v>
      </c>
      <c r="W230" s="229">
        <v>1</v>
      </c>
      <c r="X230" s="229">
        <v>28652011</v>
      </c>
      <c r="AU230" s="229">
        <v>1</v>
      </c>
      <c r="AV230" s="229">
        <f t="shared" si="0"/>
        <v>0</v>
      </c>
      <c r="AW230" s="229">
        <f t="shared" si="1"/>
        <v>0</v>
      </c>
      <c r="AX230" s="229">
        <f t="shared" si="2"/>
        <v>0</v>
      </c>
      <c r="AY230" s="229">
        <f t="shared" si="3"/>
        <v>0</v>
      </c>
      <c r="AZ230" s="229">
        <f t="shared" si="4"/>
        <v>0</v>
      </c>
      <c r="BV230" s="235">
        <v>3</v>
      </c>
      <c r="BW230" s="235">
        <v>1</v>
      </c>
      <c r="CU230" s="229">
        <v>6.7000000000000002E-4</v>
      </c>
    </row>
    <row r="231" spans="1:99" ht="22.5" x14ac:dyDescent="0.2">
      <c r="A231" s="455">
        <v>63</v>
      </c>
      <c r="B231" s="456" t="s">
        <v>758</v>
      </c>
      <c r="C231" s="457" t="s">
        <v>759</v>
      </c>
      <c r="D231" s="458" t="s">
        <v>168</v>
      </c>
      <c r="E231" s="459">
        <v>17</v>
      </c>
      <c r="F231" s="459"/>
      <c r="G231" s="486">
        <f t="shared" si="5"/>
        <v>0</v>
      </c>
      <c r="J231" s="235">
        <v>2</v>
      </c>
      <c r="V231" s="229">
        <v>3</v>
      </c>
      <c r="W231" s="229">
        <v>1</v>
      </c>
      <c r="X231" s="229">
        <v>28652012</v>
      </c>
      <c r="AU231" s="229">
        <v>1</v>
      </c>
      <c r="AV231" s="229">
        <f t="shared" si="0"/>
        <v>0</v>
      </c>
      <c r="AW231" s="229">
        <f t="shared" si="1"/>
        <v>0</v>
      </c>
      <c r="AX231" s="229">
        <f t="shared" si="2"/>
        <v>0</v>
      </c>
      <c r="AY231" s="229">
        <f t="shared" si="3"/>
        <v>0</v>
      </c>
      <c r="AZ231" s="229">
        <f t="shared" si="4"/>
        <v>0</v>
      </c>
      <c r="BV231" s="235">
        <v>3</v>
      </c>
      <c r="BW231" s="235">
        <v>1</v>
      </c>
      <c r="CU231" s="229">
        <v>7.6000000000000004E-4</v>
      </c>
    </row>
    <row r="232" spans="1:99" x14ac:dyDescent="0.2">
      <c r="A232" s="460"/>
      <c r="B232" s="461"/>
      <c r="C232" s="522" t="s">
        <v>760</v>
      </c>
      <c r="D232" s="522"/>
      <c r="E232" s="462">
        <v>0</v>
      </c>
      <c r="F232" s="463"/>
      <c r="G232" s="505"/>
      <c r="J232" s="235">
        <v>2</v>
      </c>
      <c r="V232" s="229">
        <v>3</v>
      </c>
      <c r="W232" s="229">
        <v>1</v>
      </c>
      <c r="X232" s="229">
        <v>28652013</v>
      </c>
      <c r="AU232" s="229">
        <v>1</v>
      </c>
      <c r="AV232" s="229">
        <f t="shared" si="0"/>
        <v>0</v>
      </c>
      <c r="AW232" s="229">
        <f t="shared" si="1"/>
        <v>0</v>
      </c>
      <c r="AX232" s="229">
        <f t="shared" si="2"/>
        <v>0</v>
      </c>
      <c r="AY232" s="229">
        <f t="shared" si="3"/>
        <v>0</v>
      </c>
      <c r="AZ232" s="229">
        <f t="shared" si="4"/>
        <v>0</v>
      </c>
      <c r="BV232" s="235">
        <v>3</v>
      </c>
      <c r="BW232" s="235">
        <v>1</v>
      </c>
      <c r="CU232" s="229">
        <v>7.6000000000000004E-4</v>
      </c>
    </row>
    <row r="233" spans="1:99" x14ac:dyDescent="0.2">
      <c r="A233" s="460"/>
      <c r="B233" s="461"/>
      <c r="C233" s="522" t="s">
        <v>955</v>
      </c>
      <c r="D233" s="522"/>
      <c r="E233" s="462">
        <v>17</v>
      </c>
      <c r="F233" s="463"/>
      <c r="G233" s="505"/>
      <c r="J233" s="235">
        <v>2</v>
      </c>
      <c r="V233" s="229">
        <v>3</v>
      </c>
      <c r="W233" s="229">
        <v>1</v>
      </c>
      <c r="X233" s="229">
        <v>28652014</v>
      </c>
      <c r="AU233" s="229">
        <v>1</v>
      </c>
      <c r="AV233" s="229">
        <f t="shared" si="0"/>
        <v>0</v>
      </c>
      <c r="AW233" s="229">
        <f t="shared" si="1"/>
        <v>0</v>
      </c>
      <c r="AX233" s="229">
        <f t="shared" si="2"/>
        <v>0</v>
      </c>
      <c r="AY233" s="229">
        <f t="shared" si="3"/>
        <v>0</v>
      </c>
      <c r="AZ233" s="229">
        <f t="shared" si="4"/>
        <v>0</v>
      </c>
      <c r="BV233" s="235">
        <v>3</v>
      </c>
      <c r="BW233" s="235">
        <v>1</v>
      </c>
      <c r="CU233" s="229">
        <v>1.6000000000000001E-3</v>
      </c>
    </row>
    <row r="234" spans="1:99" ht="22.5" x14ac:dyDescent="0.2">
      <c r="A234" s="455">
        <v>64</v>
      </c>
      <c r="B234" s="456" t="s">
        <v>762</v>
      </c>
      <c r="C234" s="457" t="s">
        <v>763</v>
      </c>
      <c r="D234" s="458" t="s">
        <v>168</v>
      </c>
      <c r="E234" s="459">
        <v>8</v>
      </c>
      <c r="F234" s="459"/>
      <c r="G234" s="486">
        <f>E234*F234</f>
        <v>0</v>
      </c>
      <c r="J234" s="235">
        <v>2</v>
      </c>
      <c r="V234" s="229">
        <v>3</v>
      </c>
      <c r="W234" s="229">
        <v>1</v>
      </c>
      <c r="X234" s="229">
        <v>286700001</v>
      </c>
      <c r="AU234" s="229">
        <v>1</v>
      </c>
      <c r="AV234" s="229">
        <f t="shared" si="0"/>
        <v>0</v>
      </c>
      <c r="AW234" s="229">
        <f t="shared" si="1"/>
        <v>0</v>
      </c>
      <c r="AX234" s="229">
        <f t="shared" si="2"/>
        <v>0</v>
      </c>
      <c r="AY234" s="229">
        <f t="shared" si="3"/>
        <v>0</v>
      </c>
      <c r="AZ234" s="229">
        <f t="shared" si="4"/>
        <v>0</v>
      </c>
      <c r="BV234" s="235">
        <v>3</v>
      </c>
      <c r="BW234" s="235">
        <v>1</v>
      </c>
      <c r="CU234" s="229">
        <v>4.2000000000000003E-2</v>
      </c>
    </row>
    <row r="235" spans="1:99" x14ac:dyDescent="0.2">
      <c r="A235" s="460"/>
      <c r="B235" s="461"/>
      <c r="C235" s="522" t="s">
        <v>764</v>
      </c>
      <c r="D235" s="522"/>
      <c r="E235" s="462">
        <v>0</v>
      </c>
      <c r="F235" s="463"/>
      <c r="G235" s="505"/>
      <c r="J235" s="235">
        <v>2</v>
      </c>
      <c r="V235" s="229">
        <v>3</v>
      </c>
      <c r="W235" s="229">
        <v>1</v>
      </c>
      <c r="X235" s="229">
        <v>28680001</v>
      </c>
      <c r="AU235" s="229">
        <v>1</v>
      </c>
      <c r="AV235" s="229">
        <f t="shared" si="0"/>
        <v>0</v>
      </c>
      <c r="AW235" s="229">
        <f t="shared" si="1"/>
        <v>0</v>
      </c>
      <c r="AX235" s="229">
        <f t="shared" si="2"/>
        <v>0</v>
      </c>
      <c r="AY235" s="229">
        <f t="shared" si="3"/>
        <v>0</v>
      </c>
      <c r="AZ235" s="229">
        <f t="shared" si="4"/>
        <v>0</v>
      </c>
      <c r="BV235" s="235">
        <v>3</v>
      </c>
      <c r="BW235" s="235">
        <v>1</v>
      </c>
      <c r="CU235" s="229">
        <v>4.2000000000000003E-2</v>
      </c>
    </row>
    <row r="236" spans="1:99" ht="12.75" customHeight="1" x14ac:dyDescent="0.2">
      <c r="A236" s="460"/>
      <c r="B236" s="461"/>
      <c r="C236" s="522" t="s">
        <v>956</v>
      </c>
      <c r="D236" s="522"/>
      <c r="E236" s="462">
        <v>8</v>
      </c>
      <c r="F236" s="463"/>
      <c r="G236" s="505"/>
      <c r="H236" s="464" t="s">
        <v>760</v>
      </c>
      <c r="J236" s="235"/>
    </row>
    <row r="237" spans="1:99" ht="12.75" customHeight="1" x14ac:dyDescent="0.2">
      <c r="A237" s="455">
        <v>65</v>
      </c>
      <c r="B237" s="456" t="s">
        <v>766</v>
      </c>
      <c r="C237" s="457" t="s">
        <v>957</v>
      </c>
      <c r="D237" s="458" t="s">
        <v>168</v>
      </c>
      <c r="E237" s="459">
        <v>3</v>
      </c>
      <c r="F237" s="459"/>
      <c r="G237" s="486">
        <f>E237*F237</f>
        <v>0</v>
      </c>
      <c r="H237" s="464" t="s">
        <v>761</v>
      </c>
      <c r="J237" s="235"/>
    </row>
    <row r="238" spans="1:99" ht="22.5" x14ac:dyDescent="0.2">
      <c r="A238" s="455">
        <v>66</v>
      </c>
      <c r="B238" s="456" t="s">
        <v>767</v>
      </c>
      <c r="C238" s="457" t="s">
        <v>958</v>
      </c>
      <c r="D238" s="458" t="s">
        <v>168</v>
      </c>
      <c r="E238" s="459">
        <v>2</v>
      </c>
      <c r="F238" s="459"/>
      <c r="G238" s="486">
        <f>E238*F238</f>
        <v>0</v>
      </c>
      <c r="J238" s="235">
        <v>2</v>
      </c>
      <c r="V238" s="229">
        <v>3</v>
      </c>
      <c r="W238" s="229">
        <v>1</v>
      </c>
      <c r="X238" s="229">
        <v>28680002</v>
      </c>
      <c r="AU238" s="229">
        <v>1</v>
      </c>
      <c r="AV238" s="229">
        <f>IF(AU238=1,G238,0)</f>
        <v>0</v>
      </c>
      <c r="AW238" s="229">
        <f>IF(AU238=2,G238,0)</f>
        <v>0</v>
      </c>
      <c r="AX238" s="229">
        <f>IF(AU238=3,G238,0)</f>
        <v>0</v>
      </c>
      <c r="AY238" s="229">
        <f>IF(AU238=4,G238,0)</f>
        <v>0</v>
      </c>
      <c r="AZ238" s="229">
        <f>IF(AU238=5,G238,0)</f>
        <v>0</v>
      </c>
      <c r="BV238" s="235">
        <v>3</v>
      </c>
      <c r="BW238" s="235">
        <v>1</v>
      </c>
      <c r="CU238" s="229">
        <v>6.6000000000000003E-2</v>
      </c>
    </row>
    <row r="239" spans="1:99" ht="12.75" customHeight="1" x14ac:dyDescent="0.2">
      <c r="A239" s="455">
        <v>67</v>
      </c>
      <c r="B239" s="456" t="s">
        <v>959</v>
      </c>
      <c r="C239" s="457" t="s">
        <v>960</v>
      </c>
      <c r="D239" s="458" t="s">
        <v>79</v>
      </c>
      <c r="E239" s="459">
        <v>1</v>
      </c>
      <c r="F239" s="459"/>
      <c r="G239" s="486">
        <f>E239*F239</f>
        <v>0</v>
      </c>
      <c r="H239" s="464" t="s">
        <v>764</v>
      </c>
      <c r="J239" s="235"/>
    </row>
    <row r="240" spans="1:99" ht="12.75" customHeight="1" x14ac:dyDescent="0.2">
      <c r="A240" s="455"/>
      <c r="B240" s="456"/>
      <c r="C240" s="457" t="s">
        <v>961</v>
      </c>
      <c r="D240" s="458" t="s">
        <v>168</v>
      </c>
      <c r="E240" s="459">
        <v>1</v>
      </c>
      <c r="F240" s="459"/>
      <c r="G240" s="486"/>
      <c r="H240" s="464" t="s">
        <v>765</v>
      </c>
      <c r="J240" s="235"/>
    </row>
    <row r="241" spans="1:99" x14ac:dyDescent="0.2">
      <c r="A241" s="455"/>
      <c r="B241" s="456"/>
      <c r="C241" s="457" t="s">
        <v>962</v>
      </c>
      <c r="D241" s="458" t="s">
        <v>168</v>
      </c>
      <c r="E241" s="459">
        <v>23</v>
      </c>
      <c r="F241" s="459"/>
      <c r="G241" s="486"/>
      <c r="J241" s="235">
        <v>2</v>
      </c>
      <c r="V241" s="229">
        <v>3</v>
      </c>
      <c r="W241" s="229">
        <v>1</v>
      </c>
      <c r="X241" s="229">
        <v>28680003</v>
      </c>
      <c r="AU241" s="229">
        <v>1</v>
      </c>
      <c r="AV241" s="229">
        <f>IF(AU241=1,G241,0)</f>
        <v>0</v>
      </c>
      <c r="AW241" s="229">
        <f>IF(AU241=2,G241,0)</f>
        <v>0</v>
      </c>
      <c r="AX241" s="229">
        <f>IF(AU241=3,G241,0)</f>
        <v>0</v>
      </c>
      <c r="AY241" s="229">
        <f>IF(AU241=4,G241,0)</f>
        <v>0</v>
      </c>
      <c r="AZ241" s="229">
        <f>IF(AU241=5,G241,0)</f>
        <v>0</v>
      </c>
      <c r="BV241" s="235">
        <v>3</v>
      </c>
      <c r="BW241" s="235">
        <v>1</v>
      </c>
      <c r="CU241" s="229">
        <v>6.8000000000000005E-2</v>
      </c>
    </row>
    <row r="242" spans="1:99" ht="22.5" x14ac:dyDescent="0.2">
      <c r="A242" s="455"/>
      <c r="B242" s="456"/>
      <c r="C242" s="457" t="s">
        <v>963</v>
      </c>
      <c r="D242" s="458" t="s">
        <v>168</v>
      </c>
      <c r="E242" s="459">
        <v>8</v>
      </c>
      <c r="F242" s="459"/>
      <c r="G242" s="486"/>
      <c r="J242" s="235">
        <v>2</v>
      </c>
      <c r="V242" s="229">
        <v>3</v>
      </c>
      <c r="W242" s="229">
        <v>1</v>
      </c>
      <c r="X242" s="229">
        <v>28680003</v>
      </c>
      <c r="AU242" s="229">
        <v>1</v>
      </c>
      <c r="AV242" s="229">
        <f>IF(AU242=1,G242,0)</f>
        <v>0</v>
      </c>
      <c r="AW242" s="229">
        <f>IF(AU242=2,G242,0)</f>
        <v>0</v>
      </c>
      <c r="AX242" s="229">
        <f>IF(AU242=3,G242,0)</f>
        <v>0</v>
      </c>
      <c r="AY242" s="229">
        <f>IF(AU242=4,G242,0)</f>
        <v>0</v>
      </c>
      <c r="AZ242" s="229">
        <f>IF(AU242=5,G242,0)</f>
        <v>0</v>
      </c>
      <c r="BV242" s="235">
        <v>3</v>
      </c>
      <c r="BW242" s="235">
        <v>1</v>
      </c>
      <c r="CU242" s="229">
        <v>6.8000000000000005E-2</v>
      </c>
    </row>
    <row r="243" spans="1:99" x14ac:dyDescent="0.2">
      <c r="A243" s="455"/>
      <c r="B243" s="456"/>
      <c r="C243" s="457" t="s">
        <v>768</v>
      </c>
      <c r="D243" s="458" t="s">
        <v>168</v>
      </c>
      <c r="E243" s="459">
        <v>62</v>
      </c>
      <c r="F243" s="459"/>
      <c r="G243" s="486"/>
      <c r="J243" s="235">
        <v>2</v>
      </c>
      <c r="V243" s="229">
        <v>3</v>
      </c>
      <c r="W243" s="229">
        <v>1</v>
      </c>
      <c r="X243" s="229">
        <v>28697900</v>
      </c>
      <c r="AU243" s="229">
        <v>1</v>
      </c>
      <c r="AV243" s="229">
        <f>IF(AU243=1,G243,0)</f>
        <v>0</v>
      </c>
      <c r="AW243" s="229">
        <f>IF(AU243=2,G243,0)</f>
        <v>0</v>
      </c>
      <c r="AX243" s="229">
        <f>IF(AU243=3,G243,0)</f>
        <v>0</v>
      </c>
      <c r="AY243" s="229">
        <f>IF(AU243=4,G243,0)</f>
        <v>0</v>
      </c>
      <c r="AZ243" s="229">
        <f>IF(AU243=5,G243,0)</f>
        <v>0</v>
      </c>
      <c r="BV243" s="235">
        <v>3</v>
      </c>
      <c r="BW243" s="235">
        <v>1</v>
      </c>
      <c r="CU243" s="229">
        <v>0</v>
      </c>
    </row>
    <row r="244" spans="1:99" x14ac:dyDescent="0.2">
      <c r="A244" s="455"/>
      <c r="B244" s="456"/>
      <c r="C244" s="457" t="s">
        <v>769</v>
      </c>
      <c r="D244" s="458" t="s">
        <v>168</v>
      </c>
      <c r="E244" s="459">
        <v>8</v>
      </c>
      <c r="F244" s="459"/>
      <c r="G244" s="486"/>
      <c r="J244" s="235"/>
      <c r="BV244" s="235"/>
      <c r="BW244" s="235"/>
    </row>
    <row r="245" spans="1:99" x14ac:dyDescent="0.2">
      <c r="A245" s="455"/>
      <c r="B245" s="456"/>
      <c r="C245" s="457" t="s">
        <v>770</v>
      </c>
      <c r="D245" s="458" t="s">
        <v>168</v>
      </c>
      <c r="E245" s="459">
        <v>2</v>
      </c>
      <c r="F245" s="459"/>
      <c r="G245" s="486"/>
      <c r="J245" s="235"/>
      <c r="BV245" s="235"/>
      <c r="BW245" s="235"/>
    </row>
    <row r="246" spans="1:99" x14ac:dyDescent="0.2">
      <c r="A246" s="455"/>
      <c r="B246" s="456"/>
      <c r="C246" s="457" t="s">
        <v>771</v>
      </c>
      <c r="D246" s="458" t="s">
        <v>23</v>
      </c>
      <c r="E246" s="459">
        <v>60</v>
      </c>
      <c r="F246" s="459"/>
      <c r="G246" s="486"/>
      <c r="J246" s="235"/>
      <c r="BV246" s="235"/>
      <c r="BW246" s="235"/>
    </row>
    <row r="247" spans="1:99" ht="22.5" x14ac:dyDescent="0.2">
      <c r="A247" s="455"/>
      <c r="B247" s="456"/>
      <c r="C247" s="457" t="s">
        <v>772</v>
      </c>
      <c r="D247" s="458" t="s">
        <v>23</v>
      </c>
      <c r="E247" s="459">
        <v>30</v>
      </c>
      <c r="F247" s="459"/>
      <c r="G247" s="486"/>
      <c r="J247" s="235"/>
      <c r="BV247" s="235"/>
      <c r="BW247" s="235"/>
    </row>
    <row r="248" spans="1:99" ht="33.75" x14ac:dyDescent="0.2">
      <c r="A248" s="455">
        <v>68</v>
      </c>
      <c r="B248" s="456" t="s">
        <v>964</v>
      </c>
      <c r="C248" s="457" t="s">
        <v>965</v>
      </c>
      <c r="D248" s="458" t="s">
        <v>168</v>
      </c>
      <c r="E248" s="459">
        <v>1</v>
      </c>
      <c r="F248" s="459"/>
      <c r="G248" s="486">
        <f>E248*F248</f>
        <v>0</v>
      </c>
      <c r="J248" s="235"/>
      <c r="BV248" s="235"/>
      <c r="BW248" s="235"/>
    </row>
    <row r="249" spans="1:99" x14ac:dyDescent="0.2">
      <c r="A249" s="455"/>
      <c r="B249" s="456"/>
      <c r="C249" s="457" t="s">
        <v>774</v>
      </c>
      <c r="D249" s="458" t="s">
        <v>168</v>
      </c>
      <c r="E249" s="459">
        <v>1</v>
      </c>
      <c r="F249" s="459"/>
      <c r="G249" s="486"/>
      <c r="J249" s="235"/>
      <c r="BV249" s="235"/>
      <c r="BW249" s="235"/>
    </row>
    <row r="250" spans="1:99" x14ac:dyDescent="0.2">
      <c r="A250" s="455"/>
      <c r="B250" s="456"/>
      <c r="C250" s="457" t="s">
        <v>966</v>
      </c>
      <c r="D250" s="458" t="s">
        <v>168</v>
      </c>
      <c r="E250" s="459">
        <v>1</v>
      </c>
      <c r="F250" s="459"/>
      <c r="G250" s="486"/>
      <c r="J250" s="235"/>
      <c r="BV250" s="235"/>
      <c r="BW250" s="235"/>
    </row>
    <row r="251" spans="1:99" x14ac:dyDescent="0.2">
      <c r="A251" s="455"/>
      <c r="B251" s="456"/>
      <c r="C251" s="457" t="s">
        <v>775</v>
      </c>
      <c r="D251" s="458" t="s">
        <v>168</v>
      </c>
      <c r="E251" s="459">
        <v>1</v>
      </c>
      <c r="F251" s="459"/>
      <c r="G251" s="486"/>
      <c r="J251" s="235"/>
      <c r="BV251" s="235"/>
      <c r="BW251" s="235"/>
    </row>
    <row r="252" spans="1:99" x14ac:dyDescent="0.2">
      <c r="A252" s="455"/>
      <c r="B252" s="456"/>
      <c r="C252" s="457" t="s">
        <v>776</v>
      </c>
      <c r="D252" s="458" t="s">
        <v>168</v>
      </c>
      <c r="E252" s="459">
        <v>1</v>
      </c>
      <c r="F252" s="459"/>
      <c r="G252" s="486"/>
      <c r="J252" s="235"/>
      <c r="BV252" s="235"/>
      <c r="BW252" s="235"/>
    </row>
    <row r="253" spans="1:99" x14ac:dyDescent="0.2">
      <c r="A253" s="455"/>
      <c r="B253" s="456"/>
      <c r="C253" s="457" t="s">
        <v>777</v>
      </c>
      <c r="D253" s="458" t="s">
        <v>168</v>
      </c>
      <c r="E253" s="459">
        <v>1</v>
      </c>
      <c r="F253" s="459"/>
      <c r="G253" s="486"/>
      <c r="J253" s="235"/>
      <c r="BV253" s="235"/>
      <c r="BW253" s="235"/>
    </row>
    <row r="254" spans="1:99" x14ac:dyDescent="0.2">
      <c r="A254" s="455"/>
      <c r="B254" s="456"/>
      <c r="C254" s="457" t="s">
        <v>778</v>
      </c>
      <c r="D254" s="458" t="s">
        <v>168</v>
      </c>
      <c r="E254" s="459">
        <v>2</v>
      </c>
      <c r="F254" s="459"/>
      <c r="G254" s="486"/>
      <c r="J254" s="235">
        <v>2</v>
      </c>
      <c r="V254" s="229">
        <v>3</v>
      </c>
      <c r="W254" s="229">
        <v>1</v>
      </c>
      <c r="X254" s="229">
        <v>28697903</v>
      </c>
      <c r="AU254" s="229">
        <v>1</v>
      </c>
      <c r="AV254" s="229">
        <f>IF(AU254=1,G254,0)</f>
        <v>0</v>
      </c>
      <c r="AW254" s="229">
        <f>IF(AU254=2,G254,0)</f>
        <v>0</v>
      </c>
      <c r="AX254" s="229">
        <f>IF(AU254=3,G254,0)</f>
        <v>0</v>
      </c>
      <c r="AY254" s="229">
        <f>IF(AU254=4,G254,0)</f>
        <v>0</v>
      </c>
      <c r="AZ254" s="229">
        <f>IF(AU254=5,G254,0)</f>
        <v>0</v>
      </c>
      <c r="BV254" s="235">
        <v>3</v>
      </c>
      <c r="BW254" s="235">
        <v>1</v>
      </c>
      <c r="CU254" s="229">
        <v>0</v>
      </c>
    </row>
    <row r="255" spans="1:99" ht="33.75" x14ac:dyDescent="0.2">
      <c r="A255" s="455">
        <v>69</v>
      </c>
      <c r="B255" s="456" t="s">
        <v>773</v>
      </c>
      <c r="C255" s="457" t="s">
        <v>967</v>
      </c>
      <c r="D255" s="458" t="s">
        <v>168</v>
      </c>
      <c r="E255" s="459">
        <v>1</v>
      </c>
      <c r="F255" s="459"/>
      <c r="G255" s="486">
        <f>E255*F255</f>
        <v>0</v>
      </c>
      <c r="J255" s="235"/>
      <c r="BV255" s="235"/>
      <c r="BW255" s="235"/>
    </row>
    <row r="256" spans="1:99" x14ac:dyDescent="0.2">
      <c r="A256" s="455"/>
      <c r="B256" s="456"/>
      <c r="C256" s="457" t="s">
        <v>774</v>
      </c>
      <c r="D256" s="458" t="s">
        <v>168</v>
      </c>
      <c r="E256" s="459">
        <v>1</v>
      </c>
      <c r="F256" s="459"/>
      <c r="G256" s="486"/>
      <c r="J256" s="235"/>
      <c r="BV256" s="235"/>
      <c r="BW256" s="235"/>
    </row>
    <row r="257" spans="1:99" x14ac:dyDescent="0.2">
      <c r="A257" s="455"/>
      <c r="B257" s="456"/>
      <c r="C257" s="457" t="s">
        <v>968</v>
      </c>
      <c r="D257" s="458" t="s">
        <v>168</v>
      </c>
      <c r="E257" s="459">
        <v>1</v>
      </c>
      <c r="F257" s="459"/>
      <c r="G257" s="486"/>
      <c r="J257" s="235"/>
      <c r="BV257" s="235"/>
      <c r="BW257" s="235"/>
    </row>
    <row r="258" spans="1:99" x14ac:dyDescent="0.2">
      <c r="A258" s="455"/>
      <c r="B258" s="456"/>
      <c r="C258" s="457" t="s">
        <v>779</v>
      </c>
      <c r="D258" s="458" t="s">
        <v>168</v>
      </c>
      <c r="E258" s="459">
        <v>1</v>
      </c>
      <c r="F258" s="459"/>
      <c r="G258" s="486"/>
      <c r="J258" s="235"/>
      <c r="BV258" s="235"/>
      <c r="BW258" s="235"/>
    </row>
    <row r="259" spans="1:99" x14ac:dyDescent="0.2">
      <c r="A259" s="455"/>
      <c r="B259" s="456"/>
      <c r="C259" s="457" t="s">
        <v>778</v>
      </c>
      <c r="D259" s="458" t="s">
        <v>168</v>
      </c>
      <c r="E259" s="459">
        <v>2</v>
      </c>
      <c r="F259" s="459"/>
      <c r="G259" s="486"/>
      <c r="J259" s="235"/>
      <c r="BV259" s="235"/>
      <c r="BW259" s="235"/>
    </row>
    <row r="260" spans="1:99" x14ac:dyDescent="0.2">
      <c r="A260" s="466"/>
      <c r="B260" s="467" t="s">
        <v>163</v>
      </c>
      <c r="C260" s="468" t="str">
        <f>CONCATENATE(B114," ",C114)</f>
        <v>8 Trubní vedení</v>
      </c>
      <c r="D260" s="469"/>
      <c r="E260" s="470"/>
      <c r="F260" s="491"/>
      <c r="G260" s="492">
        <f>SUM(G114:G259)</f>
        <v>0</v>
      </c>
      <c r="J260" s="235"/>
      <c r="BV260" s="235"/>
      <c r="BW260" s="235"/>
    </row>
    <row r="261" spans="1:99" x14ac:dyDescent="0.2">
      <c r="A261" s="449" t="s">
        <v>159</v>
      </c>
      <c r="B261" s="450" t="s">
        <v>515</v>
      </c>
      <c r="C261" s="451" t="s">
        <v>104</v>
      </c>
      <c r="D261" s="452"/>
      <c r="E261" s="453"/>
      <c r="F261" s="453"/>
      <c r="G261" s="454"/>
      <c r="J261" s="235">
        <v>2</v>
      </c>
      <c r="V261" s="229">
        <v>3</v>
      </c>
      <c r="W261" s="229">
        <v>1</v>
      </c>
      <c r="X261" s="229">
        <v>28697904</v>
      </c>
      <c r="AU261" s="229">
        <v>1</v>
      </c>
      <c r="AV261" s="229">
        <f>IF(AU261=1,G261,0)</f>
        <v>0</v>
      </c>
      <c r="AW261" s="229">
        <f>IF(AU261=2,G261,0)</f>
        <v>0</v>
      </c>
      <c r="AX261" s="229">
        <f>IF(AU261=3,G261,0)</f>
        <v>0</v>
      </c>
      <c r="AY261" s="229">
        <f>IF(AU261=4,G261,0)</f>
        <v>0</v>
      </c>
      <c r="AZ261" s="229">
        <f>IF(AU261=5,G261,0)</f>
        <v>0</v>
      </c>
      <c r="BV261" s="235">
        <v>3</v>
      </c>
      <c r="BW261" s="235">
        <v>1</v>
      </c>
      <c r="CU261" s="229">
        <v>0</v>
      </c>
    </row>
    <row r="262" spans="1:99" x14ac:dyDescent="0.2">
      <c r="A262" s="455">
        <v>70</v>
      </c>
      <c r="B262" s="456" t="s">
        <v>516</v>
      </c>
      <c r="C262" s="457" t="s">
        <v>517</v>
      </c>
      <c r="D262" s="458" t="s">
        <v>168</v>
      </c>
      <c r="E262" s="459">
        <v>1</v>
      </c>
      <c r="F262" s="459"/>
      <c r="G262" s="486">
        <f>E262*F262</f>
        <v>0</v>
      </c>
      <c r="J262" s="235"/>
      <c r="BV262" s="235"/>
      <c r="BW262" s="235"/>
    </row>
    <row r="263" spans="1:99" x14ac:dyDescent="0.2">
      <c r="A263" s="460"/>
      <c r="B263" s="461"/>
      <c r="C263" s="522" t="s">
        <v>780</v>
      </c>
      <c r="D263" s="522"/>
      <c r="E263" s="462">
        <v>1</v>
      </c>
      <c r="F263" s="463"/>
      <c r="G263" s="505"/>
      <c r="J263" s="235"/>
      <c r="BV263" s="235"/>
      <c r="BW263" s="235"/>
    </row>
    <row r="264" spans="1:99" x14ac:dyDescent="0.2">
      <c r="A264" s="466"/>
      <c r="B264" s="467" t="s">
        <v>163</v>
      </c>
      <c r="C264" s="468" t="str">
        <f>CONCATENATE(B261," ",C261)</f>
        <v>96 Bourání konstrukcí</v>
      </c>
      <c r="D264" s="469"/>
      <c r="E264" s="470"/>
      <c r="F264" s="491"/>
      <c r="G264" s="492">
        <f>SUM(G261:G263)</f>
        <v>0</v>
      </c>
      <c r="J264" s="235"/>
      <c r="BV264" s="235"/>
      <c r="BW264" s="235"/>
    </row>
    <row r="265" spans="1:99" ht="16.5" customHeight="1" x14ac:dyDescent="0.2">
      <c r="E265" s="229"/>
    </row>
    <row r="266" spans="1:99" ht="18" customHeight="1" x14ac:dyDescent="0.2">
      <c r="A266" s="449" t="s">
        <v>159</v>
      </c>
      <c r="B266" s="450" t="s">
        <v>518</v>
      </c>
      <c r="C266" s="451" t="s">
        <v>519</v>
      </c>
      <c r="D266" s="452"/>
      <c r="E266" s="453"/>
      <c r="F266" s="453"/>
      <c r="G266" s="454"/>
      <c r="J266" s="235"/>
      <c r="BV266" s="235"/>
      <c r="BW266" s="235"/>
    </row>
    <row r="267" spans="1:99" x14ac:dyDescent="0.2">
      <c r="A267" s="455">
        <v>71</v>
      </c>
      <c r="B267" s="456" t="s">
        <v>781</v>
      </c>
      <c r="C267" s="457" t="s">
        <v>782</v>
      </c>
      <c r="D267" s="458" t="s">
        <v>16</v>
      </c>
      <c r="E267" s="459">
        <v>331.70807256000001</v>
      </c>
      <c r="F267" s="459"/>
      <c r="G267" s="486">
        <f>E267*F267</f>
        <v>0</v>
      </c>
      <c r="J267" s="235">
        <v>4</v>
      </c>
      <c r="AV267" s="243">
        <f>SUM(AV91:AV266)</f>
        <v>0</v>
      </c>
      <c r="AW267" s="243">
        <f>SUM(AW91:AW266)</f>
        <v>0</v>
      </c>
      <c r="AX267" s="243">
        <f>SUM(AX91:AX266)</f>
        <v>0</v>
      </c>
      <c r="AY267" s="243">
        <f>SUM(AY91:AY266)</f>
        <v>0</v>
      </c>
      <c r="AZ267" s="243">
        <f>SUM(AZ91:AZ266)</f>
        <v>0</v>
      </c>
    </row>
    <row r="268" spans="1:99" x14ac:dyDescent="0.2">
      <c r="A268" s="466"/>
      <c r="B268" s="467" t="s">
        <v>163</v>
      </c>
      <c r="C268" s="468" t="str">
        <f>CONCATENATE(B266," ",C266)</f>
        <v>99 Staveništní přesun hmot</v>
      </c>
      <c r="D268" s="469"/>
      <c r="E268" s="470"/>
      <c r="F268" s="491"/>
      <c r="G268" s="492">
        <f>SUM(G266:G267)</f>
        <v>0</v>
      </c>
      <c r="J268" s="235">
        <v>1</v>
      </c>
    </row>
    <row r="269" spans="1:99" x14ac:dyDescent="0.2">
      <c r="E269" s="229"/>
    </row>
    <row r="270" spans="1:99" x14ac:dyDescent="0.2">
      <c r="E270" s="229"/>
    </row>
    <row r="271" spans="1:99" x14ac:dyDescent="0.2">
      <c r="E271" s="229"/>
    </row>
    <row r="272" spans="1:99" x14ac:dyDescent="0.2">
      <c r="E272" s="229"/>
    </row>
    <row r="273" spans="1:7" x14ac:dyDescent="0.2">
      <c r="E273" s="229"/>
    </row>
    <row r="274" spans="1:7" x14ac:dyDescent="0.2">
      <c r="E274" s="229"/>
    </row>
    <row r="275" spans="1:7" x14ac:dyDescent="0.2">
      <c r="E275" s="229"/>
    </row>
    <row r="276" spans="1:7" x14ac:dyDescent="0.2">
      <c r="E276" s="229"/>
    </row>
    <row r="277" spans="1:7" x14ac:dyDescent="0.2">
      <c r="E277" s="229"/>
    </row>
    <row r="278" spans="1:7" x14ac:dyDescent="0.2">
      <c r="E278" s="229"/>
    </row>
    <row r="279" spans="1:7" ht="24" customHeight="1" x14ac:dyDescent="0.25">
      <c r="A279" s="493" t="s">
        <v>783</v>
      </c>
      <c r="B279" s="493"/>
      <c r="E279" s="229"/>
    </row>
    <row r="280" spans="1:7" x14ac:dyDescent="0.2">
      <c r="E280" s="229"/>
    </row>
    <row r="281" spans="1:7" ht="18.75" customHeight="1" x14ac:dyDescent="0.25">
      <c r="B281" s="258" t="s">
        <v>523</v>
      </c>
      <c r="E281" s="229"/>
    </row>
    <row r="282" spans="1:7" ht="18.75" customHeight="1" x14ac:dyDescent="0.2">
      <c r="A282" s="494" t="s">
        <v>12</v>
      </c>
      <c r="B282" s="495" t="s">
        <v>105</v>
      </c>
      <c r="C282" s="495"/>
      <c r="D282" s="495"/>
      <c r="E282" s="495"/>
      <c r="F282" s="495"/>
      <c r="G282" s="496">
        <f>G100</f>
        <v>0</v>
      </c>
    </row>
    <row r="283" spans="1:7" ht="18.75" customHeight="1" x14ac:dyDescent="0.2">
      <c r="A283" s="497" t="s">
        <v>468</v>
      </c>
      <c r="B283" s="498" t="s">
        <v>469</v>
      </c>
      <c r="C283" s="498"/>
      <c r="D283" s="498"/>
      <c r="E283" s="498"/>
      <c r="F283" s="498"/>
      <c r="G283" s="499">
        <f>G113</f>
        <v>0</v>
      </c>
    </row>
    <row r="284" spans="1:7" ht="18.75" customHeight="1" x14ac:dyDescent="0.2">
      <c r="A284" s="497" t="s">
        <v>474</v>
      </c>
      <c r="B284" s="498" t="s">
        <v>475</v>
      </c>
      <c r="C284" s="498"/>
      <c r="D284" s="498"/>
      <c r="E284" s="498"/>
      <c r="F284" s="498"/>
      <c r="G284" s="499">
        <f>G260</f>
        <v>0</v>
      </c>
    </row>
    <row r="285" spans="1:7" ht="18.75" customHeight="1" x14ac:dyDescent="0.2">
      <c r="A285" s="497" t="s">
        <v>515</v>
      </c>
      <c r="B285" s="498" t="s">
        <v>104</v>
      </c>
      <c r="C285" s="498"/>
      <c r="D285" s="498"/>
      <c r="E285" s="498"/>
      <c r="F285" s="498"/>
      <c r="G285" s="499">
        <f>G264</f>
        <v>0</v>
      </c>
    </row>
    <row r="286" spans="1:7" ht="18.75" customHeight="1" thickBot="1" x14ac:dyDescent="0.25">
      <c r="A286" s="500" t="s">
        <v>518</v>
      </c>
      <c r="B286" s="501" t="s">
        <v>519</v>
      </c>
      <c r="C286" s="501"/>
      <c r="D286" s="501"/>
      <c r="E286" s="501"/>
      <c r="F286" s="507"/>
      <c r="G286" s="499">
        <f>G268</f>
        <v>0</v>
      </c>
    </row>
    <row r="287" spans="1:7" s="260" customFormat="1" ht="21" customHeight="1" thickBot="1" x14ac:dyDescent="0.25">
      <c r="B287" s="502" t="s">
        <v>784</v>
      </c>
      <c r="C287" s="503"/>
      <c r="D287" s="506"/>
      <c r="E287" s="506"/>
      <c r="F287" s="503"/>
      <c r="G287" s="504">
        <f>SUM(G282:G286)</f>
        <v>0</v>
      </c>
    </row>
    <row r="288" spans="1:7" x14ac:dyDescent="0.2">
      <c r="E288" s="229"/>
    </row>
    <row r="289" spans="5:5" x14ac:dyDescent="0.2">
      <c r="E289" s="229"/>
    </row>
    <row r="290" spans="5:5" x14ac:dyDescent="0.2">
      <c r="E290" s="229"/>
    </row>
    <row r="291" spans="5:5" x14ac:dyDescent="0.2">
      <c r="E291" s="229"/>
    </row>
    <row r="292" spans="5:5" x14ac:dyDescent="0.2">
      <c r="E292" s="229"/>
    </row>
    <row r="293" spans="5:5" x14ac:dyDescent="0.2">
      <c r="E293" s="229"/>
    </row>
    <row r="294" spans="5:5" x14ac:dyDescent="0.2">
      <c r="E294" s="229"/>
    </row>
    <row r="295" spans="5:5" x14ac:dyDescent="0.2">
      <c r="E295" s="229"/>
    </row>
    <row r="296" spans="5:5" x14ac:dyDescent="0.2">
      <c r="E296" s="229"/>
    </row>
    <row r="297" spans="5:5" x14ac:dyDescent="0.2">
      <c r="E297" s="229"/>
    </row>
    <row r="298" spans="5:5" x14ac:dyDescent="0.2">
      <c r="E298" s="229"/>
    </row>
    <row r="299" spans="5:5" x14ac:dyDescent="0.2">
      <c r="E299" s="229"/>
    </row>
    <row r="300" spans="5:5" x14ac:dyDescent="0.2">
      <c r="E300" s="229"/>
    </row>
    <row r="301" spans="5:5" x14ac:dyDescent="0.2">
      <c r="E301" s="229"/>
    </row>
    <row r="302" spans="5:5" x14ac:dyDescent="0.2">
      <c r="E302" s="229"/>
    </row>
    <row r="303" spans="5:5" x14ac:dyDescent="0.2">
      <c r="E303" s="229"/>
    </row>
    <row r="304" spans="5:5" x14ac:dyDescent="0.2">
      <c r="E304" s="229"/>
    </row>
    <row r="305" spans="5:5" x14ac:dyDescent="0.2">
      <c r="E305" s="229"/>
    </row>
    <row r="306" spans="5:5" x14ac:dyDescent="0.2">
      <c r="E306" s="229"/>
    </row>
    <row r="307" spans="5:5" x14ac:dyDescent="0.2">
      <c r="E307" s="229"/>
    </row>
    <row r="308" spans="5:5" x14ac:dyDescent="0.2">
      <c r="E308" s="229"/>
    </row>
    <row r="309" spans="5:5" x14ac:dyDescent="0.2">
      <c r="E309" s="229"/>
    </row>
    <row r="310" spans="5:5" x14ac:dyDescent="0.2">
      <c r="E310" s="229"/>
    </row>
    <row r="311" spans="5:5" x14ac:dyDescent="0.2">
      <c r="E311" s="229"/>
    </row>
    <row r="312" spans="5:5" x14ac:dyDescent="0.2">
      <c r="E312" s="229"/>
    </row>
    <row r="313" spans="5:5" x14ac:dyDescent="0.2">
      <c r="E313" s="229"/>
    </row>
    <row r="314" spans="5:5" x14ac:dyDescent="0.2">
      <c r="E314" s="229"/>
    </row>
    <row r="315" spans="5:5" x14ac:dyDescent="0.2">
      <c r="E315" s="229"/>
    </row>
    <row r="316" spans="5:5" x14ac:dyDescent="0.2">
      <c r="E316" s="229"/>
    </row>
    <row r="317" spans="5:5" x14ac:dyDescent="0.2">
      <c r="E317" s="229"/>
    </row>
    <row r="318" spans="5:5" x14ac:dyDescent="0.2">
      <c r="E318" s="229"/>
    </row>
    <row r="319" spans="5:5" x14ac:dyDescent="0.2">
      <c r="E319" s="229"/>
    </row>
    <row r="320" spans="5:5" x14ac:dyDescent="0.2">
      <c r="E320" s="229"/>
    </row>
    <row r="321" spans="1:7" x14ac:dyDescent="0.2">
      <c r="E321" s="229"/>
    </row>
    <row r="322" spans="1:7" x14ac:dyDescent="0.2">
      <c r="E322" s="229"/>
    </row>
    <row r="323" spans="1:7" x14ac:dyDescent="0.2">
      <c r="E323" s="229"/>
    </row>
    <row r="324" spans="1:7" x14ac:dyDescent="0.2">
      <c r="E324" s="229"/>
    </row>
    <row r="325" spans="1:7" x14ac:dyDescent="0.2">
      <c r="E325" s="229"/>
    </row>
    <row r="326" spans="1:7" x14ac:dyDescent="0.2">
      <c r="E326" s="229"/>
    </row>
    <row r="327" spans="1:7" x14ac:dyDescent="0.2">
      <c r="E327" s="229"/>
    </row>
    <row r="328" spans="1:7" x14ac:dyDescent="0.2">
      <c r="E328" s="229"/>
    </row>
    <row r="329" spans="1:7" x14ac:dyDescent="0.2">
      <c r="E329" s="229"/>
    </row>
    <row r="330" spans="1:7" x14ac:dyDescent="0.2">
      <c r="E330" s="229"/>
    </row>
    <row r="331" spans="1:7" x14ac:dyDescent="0.2">
      <c r="E331" s="229"/>
    </row>
    <row r="332" spans="1:7" x14ac:dyDescent="0.2">
      <c r="A332" s="247"/>
      <c r="B332" s="247"/>
    </row>
    <row r="333" spans="1:7" x14ac:dyDescent="0.2">
      <c r="C333" s="248"/>
      <c r="D333" s="248"/>
      <c r="E333" s="485"/>
      <c r="F333" s="248"/>
      <c r="G333" s="249"/>
    </row>
    <row r="334" spans="1:7" x14ac:dyDescent="0.2">
      <c r="A334" s="247"/>
      <c r="B334" s="247"/>
    </row>
  </sheetData>
  <sheetProtection selectLockedCells="1" selectUnlockedCells="1"/>
  <mergeCells count="166">
    <mergeCell ref="C7:D7"/>
    <mergeCell ref="C10:D10"/>
    <mergeCell ref="C11:D11"/>
    <mergeCell ref="C12:D12"/>
    <mergeCell ref="C13:D13"/>
    <mergeCell ref="C14:D14"/>
    <mergeCell ref="C21:D21"/>
    <mergeCell ref="C22:D22"/>
    <mergeCell ref="C23:D23"/>
    <mergeCell ref="C24:D24"/>
    <mergeCell ref="C25:D25"/>
    <mergeCell ref="C26:D26"/>
    <mergeCell ref="C15:D15"/>
    <mergeCell ref="C16:D16"/>
    <mergeCell ref="C17:D17"/>
    <mergeCell ref="C18:D18"/>
    <mergeCell ref="C19:D19"/>
    <mergeCell ref="C20:D20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46:D46"/>
    <mergeCell ref="C47:D47"/>
    <mergeCell ref="C48:D48"/>
    <mergeCell ref="C49:D49"/>
    <mergeCell ref="C50:D50"/>
    <mergeCell ref="C51:D51"/>
    <mergeCell ref="C45:D45"/>
    <mergeCell ref="C39:D39"/>
    <mergeCell ref="C40:D40"/>
    <mergeCell ref="C41:D41"/>
    <mergeCell ref="C42:D42"/>
    <mergeCell ref="C43:D43"/>
    <mergeCell ref="C44:D44"/>
    <mergeCell ref="C67:D67"/>
    <mergeCell ref="C69:D69"/>
    <mergeCell ref="C61:D61"/>
    <mergeCell ref="C62:D62"/>
    <mergeCell ref="C63:D63"/>
    <mergeCell ref="C64:D64"/>
    <mergeCell ref="C52:D52"/>
    <mergeCell ref="C53:D53"/>
    <mergeCell ref="C54:D54"/>
    <mergeCell ref="C55:D55"/>
    <mergeCell ref="C56:D56"/>
    <mergeCell ref="C57:D57"/>
    <mergeCell ref="C84:D84"/>
    <mergeCell ref="C82:D82"/>
    <mergeCell ref="C83:D83"/>
    <mergeCell ref="C92:D92"/>
    <mergeCell ref="C81:D81"/>
    <mergeCell ref="C71:D71"/>
    <mergeCell ref="C73:D73"/>
    <mergeCell ref="C75:D75"/>
    <mergeCell ref="C103:D103"/>
    <mergeCell ref="C95:D95"/>
    <mergeCell ref="C97:D97"/>
    <mergeCell ref="C99:D99"/>
    <mergeCell ref="C85:D85"/>
    <mergeCell ref="C87:D87"/>
    <mergeCell ref="C88:D88"/>
    <mergeCell ref="C89:D89"/>
    <mergeCell ref="C93:D93"/>
    <mergeCell ref="C118:D118"/>
    <mergeCell ref="C119:D119"/>
    <mergeCell ref="C120:D120"/>
    <mergeCell ref="C122:D122"/>
    <mergeCell ref="C123:D123"/>
    <mergeCell ref="C112:D112"/>
    <mergeCell ref="C117:D117"/>
    <mergeCell ref="C104:D104"/>
    <mergeCell ref="C106:D106"/>
    <mergeCell ref="C107:D107"/>
    <mergeCell ref="C109:D109"/>
    <mergeCell ref="C132:D132"/>
    <mergeCell ref="C133:D133"/>
    <mergeCell ref="C134:D134"/>
    <mergeCell ref="C135:D135"/>
    <mergeCell ref="C136:D136"/>
    <mergeCell ref="C137:D137"/>
    <mergeCell ref="C126:D126"/>
    <mergeCell ref="C127:D127"/>
    <mergeCell ref="C128:D128"/>
    <mergeCell ref="C129:D129"/>
    <mergeCell ref="C130:D130"/>
    <mergeCell ref="C131:D131"/>
    <mergeCell ref="C144:D144"/>
    <mergeCell ref="C146:D146"/>
    <mergeCell ref="C147:D147"/>
    <mergeCell ref="C148:D148"/>
    <mergeCell ref="C149:D149"/>
    <mergeCell ref="C138:D138"/>
    <mergeCell ref="C140:D140"/>
    <mergeCell ref="C141:D141"/>
    <mergeCell ref="C142:D142"/>
    <mergeCell ref="C143:D143"/>
    <mergeCell ref="C168:D168"/>
    <mergeCell ref="C156:D156"/>
    <mergeCell ref="C157:D157"/>
    <mergeCell ref="C158:D158"/>
    <mergeCell ref="C160:D160"/>
    <mergeCell ref="C161:D161"/>
    <mergeCell ref="C162:D162"/>
    <mergeCell ref="C151:D151"/>
    <mergeCell ref="C152:D152"/>
    <mergeCell ref="C153:D153"/>
    <mergeCell ref="C154:D154"/>
    <mergeCell ref="C155:D155"/>
    <mergeCell ref="C191:D191"/>
    <mergeCell ref="C192:D192"/>
    <mergeCell ref="C196:D196"/>
    <mergeCell ref="C176:D176"/>
    <mergeCell ref="C177:D177"/>
    <mergeCell ref="C179:D179"/>
    <mergeCell ref="C180:D180"/>
    <mergeCell ref="C181:D181"/>
    <mergeCell ref="C182:D182"/>
    <mergeCell ref="C175:D175"/>
    <mergeCell ref="C178:D178"/>
    <mergeCell ref="C184:D184"/>
    <mergeCell ref="C185:D185"/>
    <mergeCell ref="C188:D188"/>
    <mergeCell ref="C189:D189"/>
    <mergeCell ref="C77:D77"/>
    <mergeCell ref="C80:D80"/>
    <mergeCell ref="C91:D91"/>
    <mergeCell ref="C116:D116"/>
    <mergeCell ref="C121:D121"/>
    <mergeCell ref="C125:D125"/>
    <mergeCell ref="C159:D159"/>
    <mergeCell ref="C187:D187"/>
    <mergeCell ref="C169:D169"/>
    <mergeCell ref="C170:D170"/>
    <mergeCell ref="C171:D171"/>
    <mergeCell ref="C173:D173"/>
    <mergeCell ref="C174:D174"/>
    <mergeCell ref="C163:D163"/>
    <mergeCell ref="C164:D164"/>
    <mergeCell ref="C165:D165"/>
    <mergeCell ref="C166:D166"/>
    <mergeCell ref="C167:D167"/>
    <mergeCell ref="C232:D232"/>
    <mergeCell ref="C233:D233"/>
    <mergeCell ref="C235:D235"/>
    <mergeCell ref="C263:D263"/>
    <mergeCell ref="C198:D198"/>
    <mergeCell ref="C204:D204"/>
    <mergeCell ref="C206:D206"/>
    <mergeCell ref="C208:D208"/>
    <mergeCell ref="C210:D210"/>
    <mergeCell ref="C212:D212"/>
    <mergeCell ref="C236:D236"/>
    <mergeCell ref="C214:D214"/>
    <mergeCell ref="C216:D216"/>
    <mergeCell ref="C218:D218"/>
    <mergeCell ref="C220:D220"/>
    <mergeCell ref="C199:D199"/>
  </mergeCells>
  <pageMargins left="0.53" right="0.39374999999999999" top="0.59027777777777779" bottom="0.98402777777777772" header="0.51180555555555551" footer="0.51180555555555551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13</vt:i4>
      </vt:variant>
    </vt:vector>
  </HeadingPairs>
  <TitlesOfParts>
    <vt:vector size="19" baseType="lpstr">
      <vt:lpstr>reka</vt:lpstr>
      <vt:lpstr>pol.</vt:lpstr>
      <vt:lpstr>vegetační up.</vt:lpstr>
      <vt:lpstr>elektro</vt:lpstr>
      <vt:lpstr>vodovod</vt:lpstr>
      <vt:lpstr>kanalizace</vt:lpstr>
      <vt:lpstr>vodovod!HSV</vt:lpstr>
      <vt:lpstr>elektro!Názvy_tisku</vt:lpstr>
      <vt:lpstr>kanalizace!Názvy_tisku</vt:lpstr>
      <vt:lpstr>pol.!Názvy_tisku</vt:lpstr>
      <vt:lpstr>'vegetační up.'!Názvy_tisku</vt:lpstr>
      <vt:lpstr>vodovod!Názvy_tisku</vt:lpstr>
      <vt:lpstr>elektro!Oblast_tisku</vt:lpstr>
      <vt:lpstr>kanalizace!Oblast_tisku</vt:lpstr>
      <vt:lpstr>pol.!Oblast_tisku</vt:lpstr>
      <vt:lpstr>reka!Oblast_tisku</vt:lpstr>
      <vt:lpstr>'vegetační up.'!Oblast_tisku</vt:lpstr>
      <vt:lpstr>vodovod!Oblast_tisku</vt:lpstr>
      <vt:lpstr>vodovod!PSV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ROZTYLY</dc:creator>
  <cp:lastModifiedBy>ROZTYLY</cp:lastModifiedBy>
  <cp:lastPrinted>2021-03-22T11:24:37Z</cp:lastPrinted>
  <dcterms:created xsi:type="dcterms:W3CDTF">2020-08-10T16:06:45Z</dcterms:created>
  <dcterms:modified xsi:type="dcterms:W3CDTF">2021-03-22T12:20:25Z</dcterms:modified>
</cp:coreProperties>
</file>